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showInkAnnotation="0" autoCompressPictures="0"/>
  <mc:AlternateContent xmlns:mc="http://schemas.openxmlformats.org/markup-compatibility/2006">
    <mc:Choice Requires="x15">
      <x15ac:absPath xmlns:x15ac="http://schemas.microsoft.com/office/spreadsheetml/2010/11/ac" url="https://sanjuanems.sharepoint.com/sites/EMSAdministration/Shared Documents/Financial/Budgets and Capital Improvment/2022 to 2026 Budget Planning/"/>
    </mc:Choice>
  </mc:AlternateContent>
  <xr:revisionPtr revIDLastSave="7140" documentId="8_{1882B6B3-827C-4A99-82C0-F782A8D5EEF7}" xr6:coauthVersionLast="47" xr6:coauthVersionMax="47" xr10:uidLastSave="{C44986BD-9FD2-407D-A191-D9FE182DDA46}"/>
  <bookViews>
    <workbookView xWindow="-120" yWindow="-120" windowWidth="29040" windowHeight="15840" firstSheet="1" activeTab="3" xr2:uid="{97D564E4-C979-4244-9AB7-F690F5F7A21D}"/>
  </bookViews>
  <sheets>
    <sheet name="Debt Service Fund" sheetId="3" state="hidden" r:id="rId1"/>
    <sheet name="6511 M&amp;S vs Personnel" sheetId="13" r:id="rId2"/>
    <sheet name="6511 Income" sheetId="4" r:id="rId3"/>
    <sheet name="6511 Expenditures" sheetId="5" r:id="rId4"/>
    <sheet name="6512 Reserve Fund (Rev &amp; Exp)" sheetId="12" r:id="rId5"/>
    <sheet name="Facilities - Requests" sheetId="8" state="hidden" r:id="rId6"/>
    <sheet name="Fleet - Requests" sheetId="7" state="hidden" r:id="rId7"/>
    <sheet name="Operations Detail - Requests" sheetId="11"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9" i="13" l="1"/>
  <c r="H199" i="13"/>
  <c r="I199" i="13"/>
  <c r="J199" i="13"/>
  <c r="F199" i="13"/>
  <c r="E199" i="13"/>
  <c r="D199" i="13"/>
  <c r="C199" i="13"/>
  <c r="D211" i="13"/>
  <c r="D209" i="13"/>
  <c r="D210" i="13"/>
  <c r="E210" i="13"/>
  <c r="F210" i="13"/>
  <c r="G210" i="13"/>
  <c r="H210" i="13"/>
  <c r="I210" i="13"/>
  <c r="J210" i="13"/>
  <c r="C210" i="13"/>
  <c r="E108" i="13"/>
  <c r="D5" i="13"/>
  <c r="J212" i="13"/>
  <c r="J211" i="13"/>
  <c r="I212" i="13"/>
  <c r="I211" i="13"/>
  <c r="H212" i="13"/>
  <c r="H211" i="13"/>
  <c r="G212" i="13"/>
  <c r="G211" i="13"/>
  <c r="F212" i="13"/>
  <c r="F211" i="13"/>
  <c r="E212" i="13"/>
  <c r="E211" i="13"/>
  <c r="J213" i="13"/>
  <c r="J205" i="13"/>
  <c r="J206" i="13" s="1"/>
  <c r="J201" i="13"/>
  <c r="J200" i="13"/>
  <c r="J198" i="13"/>
  <c r="J197" i="13"/>
  <c r="J196" i="13"/>
  <c r="J178" i="13"/>
  <c r="J172" i="13"/>
  <c r="J168" i="13"/>
  <c r="J169" i="13" s="1"/>
  <c r="J164" i="13"/>
  <c r="J159" i="13"/>
  <c r="J160" i="13" s="1"/>
  <c r="J143" i="13"/>
  <c r="J142" i="13"/>
  <c r="J139" i="13"/>
  <c r="J138" i="13"/>
  <c r="J137" i="13"/>
  <c r="J136" i="13"/>
  <c r="J135" i="13"/>
  <c r="J130" i="13"/>
  <c r="J129" i="13"/>
  <c r="J115" i="13"/>
  <c r="J113" i="13"/>
  <c r="J90" i="13"/>
  <c r="J69" i="13"/>
  <c r="J68" i="13"/>
  <c r="J65" i="13"/>
  <c r="J64" i="13"/>
  <c r="J62" i="13"/>
  <c r="J56" i="13"/>
  <c r="J48" i="13"/>
  <c r="J44" i="13"/>
  <c r="J43" i="13"/>
  <c r="J34" i="13"/>
  <c r="J25" i="13"/>
  <c r="J24" i="13"/>
  <c r="J20" i="13"/>
  <c r="J18" i="13"/>
  <c r="J17" i="13"/>
  <c r="J10" i="13"/>
  <c r="J8" i="13"/>
  <c r="I213" i="13"/>
  <c r="I205" i="13"/>
  <c r="I206" i="13" s="1"/>
  <c r="I201" i="13"/>
  <c r="I200" i="13"/>
  <c r="I198" i="13"/>
  <c r="I197" i="13"/>
  <c r="I196" i="13"/>
  <c r="I178" i="13"/>
  <c r="I168" i="13"/>
  <c r="I169" i="13" s="1"/>
  <c r="I164" i="13"/>
  <c r="I159" i="13"/>
  <c r="I160" i="13" s="1"/>
  <c r="I143" i="13"/>
  <c r="I142" i="13"/>
  <c r="I139" i="13"/>
  <c r="I138" i="13"/>
  <c r="I137" i="13"/>
  <c r="I136" i="13"/>
  <c r="I135" i="13"/>
  <c r="I130" i="13"/>
  <c r="I129" i="13"/>
  <c r="I115" i="13"/>
  <c r="I113" i="13"/>
  <c r="I90" i="13"/>
  <c r="I69" i="13"/>
  <c r="I68" i="13"/>
  <c r="I65" i="13"/>
  <c r="I64" i="13"/>
  <c r="I62" i="13"/>
  <c r="I56" i="13"/>
  <c r="I48" i="13"/>
  <c r="I44" i="13"/>
  <c r="I43" i="13"/>
  <c r="I34" i="13"/>
  <c r="I25" i="13"/>
  <c r="I24" i="13"/>
  <c r="I20" i="13"/>
  <c r="I18" i="13"/>
  <c r="I17" i="13"/>
  <c r="I10" i="13"/>
  <c r="I8" i="13"/>
  <c r="H213" i="13"/>
  <c r="H205" i="13"/>
  <c r="H206" i="13" s="1"/>
  <c r="H201" i="13"/>
  <c r="H200" i="13"/>
  <c r="H198" i="13"/>
  <c r="H197" i="13"/>
  <c r="H196" i="13"/>
  <c r="H178" i="13"/>
  <c r="H172" i="13"/>
  <c r="H168" i="13"/>
  <c r="H169" i="13" s="1"/>
  <c r="H164" i="13"/>
  <c r="H159" i="13"/>
  <c r="H160" i="13" s="1"/>
  <c r="H143" i="13"/>
  <c r="H142" i="13"/>
  <c r="H139" i="13"/>
  <c r="H138" i="13"/>
  <c r="H137" i="13"/>
  <c r="H136" i="13"/>
  <c r="H135" i="13"/>
  <c r="H130" i="13"/>
  <c r="H129" i="13"/>
  <c r="H115" i="13"/>
  <c r="H113" i="13"/>
  <c r="H90" i="13"/>
  <c r="H69" i="13"/>
  <c r="H68" i="13"/>
  <c r="H65" i="13"/>
  <c r="H64" i="13"/>
  <c r="H62" i="13"/>
  <c r="H56" i="13"/>
  <c r="H48" i="13"/>
  <c r="H44" i="13"/>
  <c r="H43" i="13"/>
  <c r="H34" i="13"/>
  <c r="H32" i="13"/>
  <c r="H25" i="13"/>
  <c r="H24" i="13"/>
  <c r="H20" i="13"/>
  <c r="H18" i="13"/>
  <c r="H17" i="13"/>
  <c r="H10" i="13"/>
  <c r="H8" i="13"/>
  <c r="G213" i="13"/>
  <c r="G205" i="13"/>
  <c r="G206" i="13" s="1"/>
  <c r="G201" i="13"/>
  <c r="G200" i="13"/>
  <c r="G198" i="13"/>
  <c r="G197" i="13"/>
  <c r="G196" i="13"/>
  <c r="G178" i="13"/>
  <c r="G168" i="13"/>
  <c r="G169" i="13" s="1"/>
  <c r="G164" i="13"/>
  <c r="G159" i="13"/>
  <c r="G160" i="13" s="1"/>
  <c r="G143" i="13"/>
  <c r="G142" i="13"/>
  <c r="G139" i="13"/>
  <c r="G138" i="13"/>
  <c r="G137" i="13"/>
  <c r="G136" i="13"/>
  <c r="G135" i="13"/>
  <c r="G130" i="13"/>
  <c r="G129" i="13"/>
  <c r="G115" i="13"/>
  <c r="G113" i="13"/>
  <c r="G90" i="13"/>
  <c r="G69" i="13"/>
  <c r="G68" i="13"/>
  <c r="G65" i="13"/>
  <c r="G64" i="13"/>
  <c r="G62" i="13"/>
  <c r="G56" i="13"/>
  <c r="G48" i="13"/>
  <c r="G44" i="13"/>
  <c r="G43" i="13"/>
  <c r="G34" i="13"/>
  <c r="G32" i="13"/>
  <c r="G25" i="13"/>
  <c r="G24" i="13"/>
  <c r="G20" i="13"/>
  <c r="G18" i="13"/>
  <c r="G17" i="13"/>
  <c r="G10" i="13"/>
  <c r="G8" i="13"/>
  <c r="F213" i="13"/>
  <c r="F205" i="13"/>
  <c r="F206" i="13" s="1"/>
  <c r="F201" i="13"/>
  <c r="F200" i="13"/>
  <c r="F198" i="13"/>
  <c r="F197" i="13"/>
  <c r="F196" i="13"/>
  <c r="F178" i="13"/>
  <c r="F173" i="13"/>
  <c r="F172" i="13"/>
  <c r="F168" i="13"/>
  <c r="F169" i="13" s="1"/>
  <c r="F164" i="13"/>
  <c r="F159" i="13"/>
  <c r="F160" i="13" s="1"/>
  <c r="F143" i="13"/>
  <c r="F142" i="13"/>
  <c r="F138" i="13"/>
  <c r="F137" i="13"/>
  <c r="F130" i="13"/>
  <c r="F129" i="13"/>
  <c r="F115" i="13"/>
  <c r="F113" i="13"/>
  <c r="F90" i="13"/>
  <c r="F69" i="13"/>
  <c r="F68" i="13"/>
  <c r="F65" i="13"/>
  <c r="F64" i="13"/>
  <c r="F62" i="13"/>
  <c r="F56" i="13"/>
  <c r="F48" i="13"/>
  <c r="F44" i="13"/>
  <c r="F43" i="13"/>
  <c r="F34" i="13"/>
  <c r="F25" i="13"/>
  <c r="F24" i="13"/>
  <c r="F20" i="13"/>
  <c r="F18" i="13"/>
  <c r="F17" i="13"/>
  <c r="F10" i="13"/>
  <c r="F8" i="13"/>
  <c r="E213" i="13"/>
  <c r="E205" i="13"/>
  <c r="E206" i="13" s="1"/>
  <c r="E201" i="13"/>
  <c r="E200" i="13"/>
  <c r="E198" i="13"/>
  <c r="E197" i="13"/>
  <c r="E196" i="13"/>
  <c r="E178" i="13"/>
  <c r="E177" i="13"/>
  <c r="E173" i="13"/>
  <c r="E172" i="13"/>
  <c r="E168" i="13"/>
  <c r="E169" i="13" s="1"/>
  <c r="E164" i="13"/>
  <c r="E163" i="13"/>
  <c r="E159" i="13"/>
  <c r="E160" i="13" s="1"/>
  <c r="E149" i="13"/>
  <c r="E148" i="13"/>
  <c r="E147" i="13"/>
  <c r="E143" i="13"/>
  <c r="E142" i="13"/>
  <c r="E139" i="13"/>
  <c r="E138" i="13"/>
  <c r="E137" i="13"/>
  <c r="E136" i="13"/>
  <c r="E135" i="13"/>
  <c r="E131" i="13"/>
  <c r="E130" i="13"/>
  <c r="E129" i="13"/>
  <c r="E115" i="13"/>
  <c r="E114" i="13"/>
  <c r="E113" i="13"/>
  <c r="E103" i="13"/>
  <c r="E102" i="13"/>
  <c r="E101" i="13"/>
  <c r="E90" i="13"/>
  <c r="E81" i="13"/>
  <c r="E80" i="13"/>
  <c r="E69" i="13"/>
  <c r="E68" i="13"/>
  <c r="E65" i="13"/>
  <c r="E64" i="13"/>
  <c r="E62" i="13"/>
  <c r="E56" i="13"/>
  <c r="E48" i="13"/>
  <c r="E44" i="13"/>
  <c r="E43" i="13"/>
  <c r="E42" i="13"/>
  <c r="E34" i="13"/>
  <c r="E33" i="13"/>
  <c r="E32" i="13"/>
  <c r="E31" i="13"/>
  <c r="E30" i="13"/>
  <c r="E25" i="13"/>
  <c r="E24" i="13"/>
  <c r="E20" i="13"/>
  <c r="E18" i="13"/>
  <c r="E17" i="13"/>
  <c r="E10" i="13"/>
  <c r="E8" i="13"/>
  <c r="H76" i="5"/>
  <c r="I76" i="5" s="1"/>
  <c r="G69" i="5"/>
  <c r="H69" i="5" s="1"/>
  <c r="H67" i="5"/>
  <c r="I67" i="5" s="1"/>
  <c r="G65" i="5"/>
  <c r="E107" i="13" s="1"/>
  <c r="G57" i="5"/>
  <c r="H57" i="5" s="1"/>
  <c r="I57" i="5" s="1"/>
  <c r="J57" i="5" s="1"/>
  <c r="K57" i="5" s="1"/>
  <c r="L57" i="5" s="1"/>
  <c r="J97" i="13" s="1"/>
  <c r="G56" i="5"/>
  <c r="H56" i="5" s="1"/>
  <c r="I56" i="5" s="1"/>
  <c r="J56" i="5" s="1"/>
  <c r="K56" i="5" s="1"/>
  <c r="L56" i="5" s="1"/>
  <c r="J96" i="13" s="1"/>
  <c r="G55" i="5"/>
  <c r="H55" i="5" s="1"/>
  <c r="I55" i="5" s="1"/>
  <c r="J55" i="5" s="1"/>
  <c r="K55" i="5" s="1"/>
  <c r="L55" i="5" s="1"/>
  <c r="J95" i="13" s="1"/>
  <c r="G54" i="5"/>
  <c r="H54" i="5" s="1"/>
  <c r="I54" i="5" s="1"/>
  <c r="J54" i="5" s="1"/>
  <c r="K54" i="5" s="1"/>
  <c r="L54" i="5" s="1"/>
  <c r="J94" i="13" s="1"/>
  <c r="G50" i="5"/>
  <c r="H50" i="5" s="1"/>
  <c r="I50" i="5" s="1"/>
  <c r="J50" i="5" s="1"/>
  <c r="K50" i="5" s="1"/>
  <c r="L50" i="5" s="1"/>
  <c r="J89" i="13" s="1"/>
  <c r="G49" i="5"/>
  <c r="H49" i="5" s="1"/>
  <c r="I49" i="5" s="1"/>
  <c r="J49" i="5" s="1"/>
  <c r="K49" i="5" s="1"/>
  <c r="L49" i="5" s="1"/>
  <c r="J88" i="13" s="1"/>
  <c r="G48" i="5"/>
  <c r="H48" i="5" s="1"/>
  <c r="I48" i="5" s="1"/>
  <c r="J48" i="5" s="1"/>
  <c r="K48" i="5" s="1"/>
  <c r="L48" i="5" s="1"/>
  <c r="J87" i="13" s="1"/>
  <c r="G47" i="5"/>
  <c r="H47" i="5" s="1"/>
  <c r="I47" i="5" s="1"/>
  <c r="J47" i="5" s="1"/>
  <c r="K47" i="5" s="1"/>
  <c r="L47" i="5" s="1"/>
  <c r="J86" i="13" s="1"/>
  <c r="G46" i="5"/>
  <c r="E85" i="13" s="1"/>
  <c r="K84" i="5"/>
  <c r="I32" i="13" s="1"/>
  <c r="G200" i="5"/>
  <c r="E192" i="13" s="1"/>
  <c r="E193" i="13" s="1"/>
  <c r="G197" i="5"/>
  <c r="E188" i="13" s="1"/>
  <c r="G196" i="5"/>
  <c r="H196" i="5" s="1"/>
  <c r="G195" i="5"/>
  <c r="H195" i="5" s="1"/>
  <c r="G28" i="5"/>
  <c r="E22" i="13" s="1"/>
  <c r="J180" i="5"/>
  <c r="L180" i="5" s="1"/>
  <c r="J173" i="13" s="1"/>
  <c r="I180" i="5"/>
  <c r="G173" i="13" s="1"/>
  <c r="H136" i="5"/>
  <c r="F149" i="13" s="1"/>
  <c r="H135" i="5"/>
  <c r="F148" i="13" s="1"/>
  <c r="H134" i="5"/>
  <c r="F147" i="13" s="1"/>
  <c r="J25" i="4"/>
  <c r="K25" i="4" s="1"/>
  <c r="L25" i="4" s="1"/>
  <c r="M25" i="4" s="1"/>
  <c r="N25" i="4" s="1"/>
  <c r="O25" i="4" s="1"/>
  <c r="J14" i="4"/>
  <c r="K14" i="4" s="1"/>
  <c r="L14" i="4" s="1"/>
  <c r="M14" i="4" s="1"/>
  <c r="N14" i="4" s="1"/>
  <c r="O14" i="4" s="1"/>
  <c r="G115" i="5"/>
  <c r="E125" i="13" s="1"/>
  <c r="E126" i="13" s="1"/>
  <c r="G112" i="5"/>
  <c r="E121" i="13" s="1"/>
  <c r="G111" i="5"/>
  <c r="E120" i="13" s="1"/>
  <c r="G110" i="5"/>
  <c r="E119" i="13" s="1"/>
  <c r="H82" i="5"/>
  <c r="I82" i="5" s="1"/>
  <c r="L9" i="5"/>
  <c r="K9" i="5"/>
  <c r="J9" i="5"/>
  <c r="I9" i="5"/>
  <c r="H9" i="5"/>
  <c r="G9" i="5"/>
  <c r="H115" i="5" l="1"/>
  <c r="I115" i="5" s="1"/>
  <c r="J115" i="5" s="1"/>
  <c r="K115" i="5" s="1"/>
  <c r="L115" i="5" s="1"/>
  <c r="J125" i="13" s="1"/>
  <c r="J126" i="13" s="1"/>
  <c r="I86" i="13"/>
  <c r="E95" i="13"/>
  <c r="H46" i="5"/>
  <c r="I46" i="5" s="1"/>
  <c r="J46" i="5" s="1"/>
  <c r="K46" i="5" s="1"/>
  <c r="L46" i="5" s="1"/>
  <c r="J85" i="13" s="1"/>
  <c r="I97" i="13"/>
  <c r="I134" i="5"/>
  <c r="J134" i="5" s="1"/>
  <c r="H65" i="5"/>
  <c r="I65" i="5" s="1"/>
  <c r="H87" i="13"/>
  <c r="H89" i="13"/>
  <c r="I135" i="5"/>
  <c r="H197" i="5"/>
  <c r="I197" i="5" s="1"/>
  <c r="F89" i="13"/>
  <c r="J82" i="5"/>
  <c r="G31" i="13"/>
  <c r="I195" i="5"/>
  <c r="F186" i="13"/>
  <c r="I196" i="5"/>
  <c r="F187" i="13"/>
  <c r="G108" i="13"/>
  <c r="J67" i="5"/>
  <c r="I69" i="5"/>
  <c r="F109" i="13"/>
  <c r="J76" i="5"/>
  <c r="G114" i="13"/>
  <c r="H110" i="5"/>
  <c r="I136" i="5"/>
  <c r="H28" i="5"/>
  <c r="H200" i="5"/>
  <c r="E94" i="13"/>
  <c r="E109" i="13"/>
  <c r="E110" i="13" s="1"/>
  <c r="F107" i="13"/>
  <c r="G89" i="13"/>
  <c r="H88" i="13"/>
  <c r="I87" i="13"/>
  <c r="K180" i="5"/>
  <c r="I173" i="13" s="1"/>
  <c r="L84" i="5"/>
  <c r="J32" i="13" s="1"/>
  <c r="E96" i="13"/>
  <c r="F31" i="13"/>
  <c r="F95" i="13"/>
  <c r="G94" i="13"/>
  <c r="H173" i="13"/>
  <c r="I89" i="13"/>
  <c r="F94" i="13"/>
  <c r="G125" i="13"/>
  <c r="G126" i="13" s="1"/>
  <c r="H111" i="5"/>
  <c r="E86" i="13"/>
  <c r="E97" i="13"/>
  <c r="E186" i="13"/>
  <c r="F85" i="13"/>
  <c r="F96" i="13"/>
  <c r="F114" i="13"/>
  <c r="F116" i="13" s="1"/>
  <c r="G95" i="13"/>
  <c r="H94" i="13"/>
  <c r="F108" i="13"/>
  <c r="G88" i="13"/>
  <c r="E87" i="13"/>
  <c r="E187" i="13"/>
  <c r="F86" i="13"/>
  <c r="F97" i="13"/>
  <c r="G85" i="13"/>
  <c r="G96" i="13"/>
  <c r="H95" i="13"/>
  <c r="I94" i="13"/>
  <c r="I98" i="13" s="1"/>
  <c r="H112" i="5"/>
  <c r="E88" i="13"/>
  <c r="F87" i="13"/>
  <c r="G86" i="13"/>
  <c r="G97" i="13"/>
  <c r="H85" i="13"/>
  <c r="H96" i="13"/>
  <c r="I95" i="13"/>
  <c r="I88" i="13"/>
  <c r="E89" i="13"/>
  <c r="F88" i="13"/>
  <c r="F188" i="13"/>
  <c r="G87" i="13"/>
  <c r="H86" i="13"/>
  <c r="H97" i="13"/>
  <c r="I85" i="13"/>
  <c r="I96" i="13"/>
  <c r="E165" i="13"/>
  <c r="E179" i="13"/>
  <c r="J174" i="13"/>
  <c r="E104" i="13"/>
  <c r="E174" i="13"/>
  <c r="F150" i="13"/>
  <c r="H174" i="13"/>
  <c r="E150" i="13"/>
  <c r="E189" i="13"/>
  <c r="J98" i="13"/>
  <c r="E116" i="13"/>
  <c r="E202" i="13"/>
  <c r="G116" i="13"/>
  <c r="G202" i="13"/>
  <c r="J202" i="13"/>
  <c r="E122" i="13"/>
  <c r="F174" i="13"/>
  <c r="J91" i="13"/>
  <c r="F202" i="13"/>
  <c r="I202" i="13"/>
  <c r="E132" i="13"/>
  <c r="H202" i="13"/>
  <c r="K4" i="12"/>
  <c r="K7" i="12" s="1"/>
  <c r="J4" i="12"/>
  <c r="I4" i="12"/>
  <c r="I7" i="12" s="1"/>
  <c r="H4" i="12"/>
  <c r="G4" i="12"/>
  <c r="G7" i="12" s="1"/>
  <c r="F15" i="12"/>
  <c r="K15" i="12"/>
  <c r="J15" i="12"/>
  <c r="I15" i="12"/>
  <c r="H15" i="12"/>
  <c r="G15" i="12"/>
  <c r="J7" i="12"/>
  <c r="H7" i="12"/>
  <c r="F7" i="12"/>
  <c r="F4" i="12"/>
  <c r="G184" i="5"/>
  <c r="H183" i="5"/>
  <c r="F177" i="13" s="1"/>
  <c r="F179" i="13" s="1"/>
  <c r="J181" i="5"/>
  <c r="L226" i="5"/>
  <c r="K226" i="5"/>
  <c r="J226" i="5"/>
  <c r="I226" i="5"/>
  <c r="H226" i="5"/>
  <c r="G226" i="5"/>
  <c r="E209" i="13" s="1"/>
  <c r="E214" i="13" s="1"/>
  <c r="L232" i="5"/>
  <c r="K232" i="5"/>
  <c r="J232" i="5"/>
  <c r="I232" i="5"/>
  <c r="H232" i="5"/>
  <c r="G232" i="5"/>
  <c r="L243" i="5"/>
  <c r="K243" i="5"/>
  <c r="J243" i="5"/>
  <c r="I243" i="5"/>
  <c r="H243" i="5"/>
  <c r="G243" i="5"/>
  <c r="L240" i="5"/>
  <c r="K240" i="5"/>
  <c r="J240" i="5"/>
  <c r="I240" i="5"/>
  <c r="H240" i="5"/>
  <c r="G240" i="5"/>
  <c r="K229" i="5"/>
  <c r="L229" i="5"/>
  <c r="J229" i="5"/>
  <c r="I229" i="5"/>
  <c r="H229" i="5"/>
  <c r="G229" i="5"/>
  <c r="L223" i="5"/>
  <c r="K223" i="5"/>
  <c r="J223" i="5"/>
  <c r="I223" i="5"/>
  <c r="H223" i="5"/>
  <c r="G223" i="5"/>
  <c r="L220" i="5"/>
  <c r="K220" i="5"/>
  <c r="J220" i="5"/>
  <c r="I220" i="5"/>
  <c r="H220" i="5"/>
  <c r="G220" i="5"/>
  <c r="L216" i="5"/>
  <c r="K216" i="5"/>
  <c r="J216" i="5"/>
  <c r="I216" i="5"/>
  <c r="H216" i="5"/>
  <c r="G216" i="5"/>
  <c r="L213" i="5"/>
  <c r="K213" i="5"/>
  <c r="J213" i="5"/>
  <c r="I213" i="5"/>
  <c r="H213" i="5"/>
  <c r="G213" i="5"/>
  <c r="L207" i="5"/>
  <c r="K207" i="5"/>
  <c r="J207" i="5"/>
  <c r="I207" i="5"/>
  <c r="H207" i="5"/>
  <c r="G207" i="5"/>
  <c r="L204" i="5"/>
  <c r="K204" i="5"/>
  <c r="J204" i="5"/>
  <c r="I204" i="5"/>
  <c r="H204" i="5"/>
  <c r="G204" i="5"/>
  <c r="G201" i="5"/>
  <c r="G198" i="5"/>
  <c r="G192" i="5"/>
  <c r="E182" i="13" s="1"/>
  <c r="E183" i="13" s="1"/>
  <c r="E193" i="5"/>
  <c r="L190" i="5"/>
  <c r="K190" i="5"/>
  <c r="J190" i="5"/>
  <c r="I190" i="5"/>
  <c r="H190" i="5"/>
  <c r="G190" i="5"/>
  <c r="L187" i="5"/>
  <c r="K187" i="5"/>
  <c r="J187" i="5"/>
  <c r="I187" i="5"/>
  <c r="H187" i="5"/>
  <c r="G187" i="5"/>
  <c r="I179" i="5"/>
  <c r="G172" i="13" s="1"/>
  <c r="G174" i="13" s="1"/>
  <c r="H181" i="5"/>
  <c r="G181" i="5"/>
  <c r="L177" i="5"/>
  <c r="K177" i="5"/>
  <c r="J177" i="5"/>
  <c r="I177" i="5"/>
  <c r="H177" i="5"/>
  <c r="G177" i="5"/>
  <c r="L172" i="5"/>
  <c r="K172" i="5"/>
  <c r="J172" i="5"/>
  <c r="I172" i="5"/>
  <c r="H172" i="5"/>
  <c r="G172" i="5"/>
  <c r="G169" i="5"/>
  <c r="H168" i="5"/>
  <c r="F163" i="13" s="1"/>
  <c r="F165" i="13" s="1"/>
  <c r="G165" i="5"/>
  <c r="E70" i="13" s="1"/>
  <c r="G161" i="5"/>
  <c r="E66" i="13" s="1"/>
  <c r="G151" i="5"/>
  <c r="E55" i="13" s="1"/>
  <c r="G150" i="5"/>
  <c r="E54" i="13" s="1"/>
  <c r="L148" i="5"/>
  <c r="K148" i="5"/>
  <c r="J148" i="5"/>
  <c r="I148" i="5"/>
  <c r="H148" i="5"/>
  <c r="G148" i="5"/>
  <c r="L145" i="5"/>
  <c r="J145" i="5"/>
  <c r="K145" i="5"/>
  <c r="I145" i="5"/>
  <c r="H145" i="5"/>
  <c r="G145" i="5"/>
  <c r="G141" i="5"/>
  <c r="G140" i="5"/>
  <c r="G139" i="5"/>
  <c r="E153" i="13" s="1"/>
  <c r="G137" i="5"/>
  <c r="G129" i="5"/>
  <c r="E141" i="13" s="1"/>
  <c r="G128" i="5"/>
  <c r="E140" i="13" s="1"/>
  <c r="H127" i="5"/>
  <c r="F139" i="13" s="1"/>
  <c r="H123" i="5"/>
  <c r="F135" i="13" s="1"/>
  <c r="H124" i="5"/>
  <c r="F136" i="13" s="1"/>
  <c r="G121" i="5"/>
  <c r="H120" i="5"/>
  <c r="F131" i="13" s="1"/>
  <c r="F132" i="13" s="1"/>
  <c r="F209" i="13" l="1"/>
  <c r="F214" i="13" s="1"/>
  <c r="F98" i="13"/>
  <c r="H98" i="13"/>
  <c r="I125" i="13"/>
  <c r="I126" i="13" s="1"/>
  <c r="E91" i="13"/>
  <c r="F125" i="13"/>
  <c r="F126" i="13" s="1"/>
  <c r="F91" i="13"/>
  <c r="F110" i="13"/>
  <c r="H184" i="5"/>
  <c r="H125" i="13"/>
  <c r="H126" i="13" s="1"/>
  <c r="G147" i="13"/>
  <c r="K179" i="5"/>
  <c r="I172" i="13" s="1"/>
  <c r="I174" i="13" s="1"/>
  <c r="G91" i="13"/>
  <c r="J209" i="13"/>
  <c r="J214" i="13" s="1"/>
  <c r="I183" i="5"/>
  <c r="I184" i="5" s="1"/>
  <c r="H91" i="13"/>
  <c r="F189" i="13"/>
  <c r="H151" i="5"/>
  <c r="I151" i="5" s="1"/>
  <c r="G209" i="13"/>
  <c r="G214" i="13" s="1"/>
  <c r="J135" i="5"/>
  <c r="G148" i="13"/>
  <c r="G142" i="5"/>
  <c r="G153" i="5"/>
  <c r="G156" i="5" s="1"/>
  <c r="E61" i="13" s="1"/>
  <c r="E144" i="13"/>
  <c r="J65" i="5"/>
  <c r="G107" i="13"/>
  <c r="K134" i="5"/>
  <c r="H147" i="13"/>
  <c r="H192" i="5"/>
  <c r="H193" i="5" s="1"/>
  <c r="I91" i="13"/>
  <c r="E98" i="13"/>
  <c r="G98" i="13"/>
  <c r="H121" i="5"/>
  <c r="H139" i="5"/>
  <c r="I139" i="5" s="1"/>
  <c r="E57" i="13"/>
  <c r="G193" i="5"/>
  <c r="J197" i="5"/>
  <c r="G188" i="13"/>
  <c r="K67" i="5"/>
  <c r="H108" i="13"/>
  <c r="I209" i="13"/>
  <c r="I214" i="13" s="1"/>
  <c r="I111" i="5"/>
  <c r="F120" i="13"/>
  <c r="I28" i="5"/>
  <c r="F22" i="13"/>
  <c r="J69" i="5"/>
  <c r="G109" i="13"/>
  <c r="G110" i="13" s="1"/>
  <c r="H165" i="5"/>
  <c r="I200" i="5"/>
  <c r="I201" i="5" s="1"/>
  <c r="F192" i="13"/>
  <c r="F193" i="13" s="1"/>
  <c r="H150" i="5"/>
  <c r="H169" i="5"/>
  <c r="J136" i="5"/>
  <c r="G149" i="13"/>
  <c r="I168" i="5"/>
  <c r="I120" i="5"/>
  <c r="H129" i="5"/>
  <c r="I181" i="5"/>
  <c r="F119" i="13"/>
  <c r="I110" i="5"/>
  <c r="J196" i="5"/>
  <c r="G187" i="13"/>
  <c r="H161" i="5"/>
  <c r="H209" i="13"/>
  <c r="H214" i="13" s="1"/>
  <c r="G132" i="5"/>
  <c r="I112" i="5"/>
  <c r="F121" i="13"/>
  <c r="H140" i="5"/>
  <c r="E154" i="13"/>
  <c r="K76" i="5"/>
  <c r="H114" i="13"/>
  <c r="H116" i="13" s="1"/>
  <c r="J195" i="5"/>
  <c r="J198" i="5" s="1"/>
  <c r="G186" i="13"/>
  <c r="H128" i="5"/>
  <c r="H141" i="5"/>
  <c r="E155" i="13"/>
  <c r="I192" i="5"/>
  <c r="F182" i="13"/>
  <c r="F183" i="13" s="1"/>
  <c r="K82" i="5"/>
  <c r="H31" i="13"/>
  <c r="H201" i="5"/>
  <c r="H198" i="5"/>
  <c r="I198" i="5"/>
  <c r="L181" i="5"/>
  <c r="I137" i="5"/>
  <c r="J137" i="5"/>
  <c r="H137" i="5"/>
  <c r="K181" i="5"/>
  <c r="K116" i="5"/>
  <c r="J116" i="5"/>
  <c r="I116" i="5"/>
  <c r="H116" i="5"/>
  <c r="G116" i="5"/>
  <c r="L116" i="5"/>
  <c r="G113" i="5"/>
  <c r="L108" i="5"/>
  <c r="K108" i="5"/>
  <c r="J108" i="5"/>
  <c r="I108" i="5"/>
  <c r="H108" i="5"/>
  <c r="G108" i="5"/>
  <c r="G103" i="5"/>
  <c r="E50" i="13" s="1"/>
  <c r="G102" i="5"/>
  <c r="E49" i="13" s="1"/>
  <c r="H94" i="5"/>
  <c r="F42" i="13" s="1"/>
  <c r="H84" i="5"/>
  <c r="F32" i="13" s="1"/>
  <c r="H81" i="5"/>
  <c r="F30" i="13" s="1"/>
  <c r="G88" i="5"/>
  <c r="E35" i="13" s="1"/>
  <c r="E36" i="13" s="1"/>
  <c r="H86" i="5"/>
  <c r="F33" i="13" s="1"/>
  <c r="G79" i="5"/>
  <c r="G70" i="5"/>
  <c r="H62" i="5"/>
  <c r="H61" i="5"/>
  <c r="H60" i="5"/>
  <c r="F101" i="13" s="1"/>
  <c r="G63" i="5"/>
  <c r="L58" i="5"/>
  <c r="K58" i="5"/>
  <c r="J58" i="5"/>
  <c r="I58" i="5"/>
  <c r="H58" i="5"/>
  <c r="G58" i="5"/>
  <c r="L52" i="5"/>
  <c r="G52" i="5"/>
  <c r="G44" i="5"/>
  <c r="H43" i="5"/>
  <c r="F81" i="13" s="1"/>
  <c r="H40" i="5"/>
  <c r="G39" i="5"/>
  <c r="E79" i="13" s="1"/>
  <c r="E82" i="13" s="1"/>
  <c r="L37" i="5"/>
  <c r="K37" i="5"/>
  <c r="J37" i="5"/>
  <c r="I37" i="5"/>
  <c r="H37" i="5"/>
  <c r="G37" i="5"/>
  <c r="G32" i="5"/>
  <c r="E26" i="13" s="1"/>
  <c r="G26" i="5"/>
  <c r="G15" i="5"/>
  <c r="G13" i="5"/>
  <c r="E7" i="13" s="1"/>
  <c r="G12" i="5"/>
  <c r="E6" i="13" s="1"/>
  <c r="G11" i="5"/>
  <c r="E5" i="13" s="1"/>
  <c r="J12" i="4"/>
  <c r="J11" i="4"/>
  <c r="J10" i="4"/>
  <c r="K32" i="4"/>
  <c r="K5" i="4"/>
  <c r="L5" i="4" s="1"/>
  <c r="M5" i="4" s="1"/>
  <c r="N5" i="4" s="1"/>
  <c r="O5" i="4" s="1"/>
  <c r="F94" i="5"/>
  <c r="D42" i="13" s="1"/>
  <c r="F142" i="5"/>
  <c r="F137" i="5"/>
  <c r="F116" i="5"/>
  <c r="F113" i="5"/>
  <c r="F98" i="5"/>
  <c r="D46" i="13" s="1"/>
  <c r="F97" i="5"/>
  <c r="D45" i="13" s="1"/>
  <c r="F24" i="5"/>
  <c r="G24" i="5" s="1"/>
  <c r="D8" i="13"/>
  <c r="D17" i="13"/>
  <c r="F17" i="5"/>
  <c r="F21" i="5" s="1"/>
  <c r="D213" i="13"/>
  <c r="D205" i="13"/>
  <c r="D206" i="13" s="1"/>
  <c r="D201" i="13"/>
  <c r="D200" i="13"/>
  <c r="D198" i="13"/>
  <c r="D197" i="13"/>
  <c r="D196" i="13"/>
  <c r="D192" i="13"/>
  <c r="D193" i="13" s="1"/>
  <c r="D188" i="13"/>
  <c r="D187" i="13"/>
  <c r="D186" i="13"/>
  <c r="D182" i="13"/>
  <c r="D183" i="13" s="1"/>
  <c r="D178" i="13"/>
  <c r="D177" i="13"/>
  <c r="D173" i="13"/>
  <c r="D172" i="13"/>
  <c r="D168" i="13"/>
  <c r="D169" i="13" s="1"/>
  <c r="D164" i="13"/>
  <c r="D163" i="13"/>
  <c r="D159" i="13"/>
  <c r="D160" i="13" s="1"/>
  <c r="D155" i="13"/>
  <c r="D154" i="13"/>
  <c r="D153" i="13"/>
  <c r="D149" i="13"/>
  <c r="D148" i="13"/>
  <c r="D147" i="13"/>
  <c r="D143" i="13"/>
  <c r="D142" i="13"/>
  <c r="D141" i="13"/>
  <c r="D140" i="13"/>
  <c r="D139" i="13"/>
  <c r="D138" i="13"/>
  <c r="D137" i="13"/>
  <c r="D136" i="13"/>
  <c r="D135" i="13"/>
  <c r="D131" i="13"/>
  <c r="D130" i="13"/>
  <c r="D129" i="13"/>
  <c r="D125" i="13"/>
  <c r="D126" i="13" s="1"/>
  <c r="D121" i="13"/>
  <c r="D120" i="13"/>
  <c r="D119" i="13"/>
  <c r="D115" i="13"/>
  <c r="D114" i="13"/>
  <c r="D113" i="13"/>
  <c r="D109" i="13"/>
  <c r="D107" i="13"/>
  <c r="D103" i="13"/>
  <c r="D102" i="13"/>
  <c r="D101" i="13"/>
  <c r="D97" i="13"/>
  <c r="D96" i="13"/>
  <c r="D95" i="13"/>
  <c r="D94" i="13"/>
  <c r="D90" i="13"/>
  <c r="D89" i="13"/>
  <c r="D88" i="13"/>
  <c r="D87" i="13"/>
  <c r="D86" i="13"/>
  <c r="D85" i="13"/>
  <c r="D81" i="13"/>
  <c r="D80" i="13"/>
  <c r="D79" i="13"/>
  <c r="D70" i="13"/>
  <c r="D69" i="13"/>
  <c r="D67" i="13"/>
  <c r="D66" i="13"/>
  <c r="D65" i="13"/>
  <c r="D64" i="13"/>
  <c r="D62" i="13"/>
  <c r="D56" i="13"/>
  <c r="D55" i="13"/>
  <c r="D54" i="13"/>
  <c r="D50" i="13"/>
  <c r="D49" i="13"/>
  <c r="D48" i="13"/>
  <c r="D43" i="13"/>
  <c r="D35" i="13"/>
  <c r="D34" i="13"/>
  <c r="D33" i="13"/>
  <c r="D32" i="13"/>
  <c r="D31" i="13"/>
  <c r="D30" i="13"/>
  <c r="D26" i="13"/>
  <c r="D25" i="13"/>
  <c r="D24" i="13"/>
  <c r="D23" i="13"/>
  <c r="D22" i="13"/>
  <c r="D21" i="13"/>
  <c r="D20" i="13"/>
  <c r="D18" i="13"/>
  <c r="D10" i="13"/>
  <c r="D9" i="13"/>
  <c r="D7" i="13"/>
  <c r="D6" i="13"/>
  <c r="E15" i="12"/>
  <c r="E7" i="12"/>
  <c r="D15" i="12"/>
  <c r="G89" i="5" l="1"/>
  <c r="G98" i="5" s="1"/>
  <c r="E46" i="13" s="1"/>
  <c r="D19" i="13"/>
  <c r="G189" i="13"/>
  <c r="G150" i="13"/>
  <c r="H88" i="5"/>
  <c r="J88" i="5" s="1"/>
  <c r="G158" i="5"/>
  <c r="E63" i="13" s="1"/>
  <c r="G162" i="5"/>
  <c r="E67" i="13" s="1"/>
  <c r="G177" i="13"/>
  <c r="G179" i="13" s="1"/>
  <c r="F55" i="13"/>
  <c r="J183" i="5"/>
  <c r="H39" i="5"/>
  <c r="I39" i="5" s="1"/>
  <c r="G91" i="5"/>
  <c r="E39" i="13" s="1"/>
  <c r="G155" i="5"/>
  <c r="F153" i="13"/>
  <c r="K65" i="5"/>
  <c r="H107" i="13"/>
  <c r="K197" i="5"/>
  <c r="H188" i="13"/>
  <c r="G93" i="5"/>
  <c r="E41" i="13" s="1"/>
  <c r="K135" i="5"/>
  <c r="H148" i="13"/>
  <c r="E156" i="13"/>
  <c r="E216" i="13" s="1"/>
  <c r="L134" i="5"/>
  <c r="J147" i="13" s="1"/>
  <c r="I147" i="13"/>
  <c r="H24" i="5"/>
  <c r="E19" i="13"/>
  <c r="H11" i="5"/>
  <c r="G92" i="5"/>
  <c r="E40" i="13" s="1"/>
  <c r="H102" i="5"/>
  <c r="K195" i="5"/>
  <c r="H186" i="13"/>
  <c r="I161" i="5"/>
  <c r="F66" i="13"/>
  <c r="J168" i="5"/>
  <c r="G163" i="13"/>
  <c r="G165" i="13" s="1"/>
  <c r="I169" i="5"/>
  <c r="H15" i="5"/>
  <c r="E9" i="13"/>
  <c r="E11" i="13" s="1"/>
  <c r="J192" i="5"/>
  <c r="G182" i="13"/>
  <c r="G183" i="13" s="1"/>
  <c r="I193" i="5"/>
  <c r="J112" i="5"/>
  <c r="G121" i="13"/>
  <c r="K69" i="5"/>
  <c r="H109" i="13"/>
  <c r="H110" i="13" s="1"/>
  <c r="L67" i="5"/>
  <c r="I108" i="13"/>
  <c r="H26" i="5"/>
  <c r="F21" i="13" s="1"/>
  <c r="E21" i="13"/>
  <c r="I165" i="5"/>
  <c r="F70" i="13"/>
  <c r="H12" i="5"/>
  <c r="G17" i="5"/>
  <c r="I40" i="5"/>
  <c r="F80" i="13"/>
  <c r="I43" i="5"/>
  <c r="H103" i="5"/>
  <c r="L76" i="5"/>
  <c r="J114" i="13" s="1"/>
  <c r="J116" i="13" s="1"/>
  <c r="I114" i="13"/>
  <c r="I116" i="13" s="1"/>
  <c r="K196" i="5"/>
  <c r="H187" i="13"/>
  <c r="K136" i="5"/>
  <c r="H149" i="13"/>
  <c r="J120" i="5"/>
  <c r="G131" i="13"/>
  <c r="G132" i="13" s="1"/>
  <c r="I121" i="5"/>
  <c r="G41" i="5"/>
  <c r="I61" i="5"/>
  <c r="F102" i="13"/>
  <c r="I94" i="5"/>
  <c r="J151" i="5"/>
  <c r="G55" i="13"/>
  <c r="K183" i="5"/>
  <c r="H177" i="13"/>
  <c r="H179" i="13" s="1"/>
  <c r="J184" i="5"/>
  <c r="J110" i="5"/>
  <c r="G119" i="13"/>
  <c r="J28" i="5"/>
  <c r="G22" i="13"/>
  <c r="F35" i="13"/>
  <c r="F36" i="13" s="1"/>
  <c r="H13" i="5"/>
  <c r="H32" i="5"/>
  <c r="H44" i="5"/>
  <c r="I62" i="5"/>
  <c r="F103" i="13"/>
  <c r="F104" i="13" s="1"/>
  <c r="I81" i="5"/>
  <c r="G97" i="5"/>
  <c r="F122" i="13"/>
  <c r="I150" i="5"/>
  <c r="F54" i="13"/>
  <c r="F57" i="13" s="1"/>
  <c r="H153" i="5"/>
  <c r="L82" i="5"/>
  <c r="J31" i="13" s="1"/>
  <c r="I31" i="13"/>
  <c r="D16" i="13"/>
  <c r="I86" i="5"/>
  <c r="I141" i="5"/>
  <c r="F155" i="13"/>
  <c r="I140" i="5"/>
  <c r="F154" i="13"/>
  <c r="H142" i="5"/>
  <c r="J139" i="5"/>
  <c r="G153" i="13"/>
  <c r="J111" i="5"/>
  <c r="G120" i="13"/>
  <c r="F140" i="13"/>
  <c r="I128" i="5"/>
  <c r="H132" i="5"/>
  <c r="I129" i="5"/>
  <c r="F141" i="13"/>
  <c r="J200" i="5"/>
  <c r="G192" i="13"/>
  <c r="G193" i="13" s="1"/>
  <c r="J32" i="4"/>
  <c r="J31" i="4" s="1"/>
  <c r="G251" i="5" s="1"/>
  <c r="D214" i="13"/>
  <c r="H70" i="5"/>
  <c r="I70" i="5"/>
  <c r="J70" i="5"/>
  <c r="K70" i="5"/>
  <c r="H52" i="5"/>
  <c r="I52" i="5"/>
  <c r="J52" i="5"/>
  <c r="K52" i="5"/>
  <c r="H113" i="5"/>
  <c r="I113" i="5"/>
  <c r="I26" i="5"/>
  <c r="G21" i="13" s="1"/>
  <c r="K31" i="4"/>
  <c r="H251" i="5" s="1"/>
  <c r="H256" i="5"/>
  <c r="G256" i="5"/>
  <c r="H79" i="5"/>
  <c r="I79" i="5"/>
  <c r="D174" i="13"/>
  <c r="D179" i="13"/>
  <c r="H89" i="5"/>
  <c r="H63" i="5"/>
  <c r="I60" i="5"/>
  <c r="D150" i="13"/>
  <c r="D82" i="13"/>
  <c r="D57" i="13"/>
  <c r="D116" i="13"/>
  <c r="F19" i="5"/>
  <c r="D14" i="13" s="1"/>
  <c r="F20" i="5"/>
  <c r="D15" i="13" s="1"/>
  <c r="D36" i="13"/>
  <c r="D104" i="13"/>
  <c r="D122" i="13"/>
  <c r="D144" i="13"/>
  <c r="D11" i="13"/>
  <c r="D165" i="13"/>
  <c r="D110" i="13"/>
  <c r="D98" i="13"/>
  <c r="D156" i="13"/>
  <c r="D189" i="13"/>
  <c r="D91" i="13"/>
  <c r="D202" i="13"/>
  <c r="D132" i="13"/>
  <c r="F240" i="5"/>
  <c r="F243" i="5"/>
  <c r="F223" i="5"/>
  <c r="F220" i="5"/>
  <c r="F213" i="5"/>
  <c r="F207" i="5"/>
  <c r="F204" i="5"/>
  <c r="F201" i="5"/>
  <c r="F198" i="5"/>
  <c r="F193" i="5"/>
  <c r="F190" i="5"/>
  <c r="F187" i="5"/>
  <c r="F184" i="5"/>
  <c r="F181" i="5"/>
  <c r="F177" i="5"/>
  <c r="F172" i="5"/>
  <c r="F169" i="5"/>
  <c r="F163" i="5"/>
  <c r="D68" i="13" s="1"/>
  <c r="F153" i="5"/>
  <c r="F132" i="5"/>
  <c r="F121" i="5"/>
  <c r="F104" i="5"/>
  <c r="F101" i="5"/>
  <c r="F99" i="5"/>
  <c r="F96" i="5"/>
  <c r="D44" i="13" s="1"/>
  <c r="F89" i="5"/>
  <c r="F79" i="5"/>
  <c r="F70" i="5"/>
  <c r="F63" i="5"/>
  <c r="F58" i="5"/>
  <c r="F52" i="5"/>
  <c r="F44" i="5"/>
  <c r="F41" i="5"/>
  <c r="F9" i="5"/>
  <c r="I32" i="4"/>
  <c r="I31" i="4" s="1"/>
  <c r="F251" i="5" s="1"/>
  <c r="H32" i="4"/>
  <c r="H31" i="4" s="1"/>
  <c r="C226" i="5"/>
  <c r="C213" i="5"/>
  <c r="C204" i="5"/>
  <c r="C201" i="5"/>
  <c r="C198" i="5"/>
  <c r="C193" i="5"/>
  <c r="C184" i="5"/>
  <c r="C177" i="5"/>
  <c r="C153" i="5"/>
  <c r="C142" i="5"/>
  <c r="C132" i="5"/>
  <c r="C121" i="5"/>
  <c r="C79" i="5"/>
  <c r="C70" i="5"/>
  <c r="C63" i="5"/>
  <c r="C58" i="5"/>
  <c r="C44" i="5"/>
  <c r="G166" i="5" l="1"/>
  <c r="H150" i="13"/>
  <c r="E60" i="13"/>
  <c r="E71" i="13" s="1"/>
  <c r="H41" i="5"/>
  <c r="F79" i="13"/>
  <c r="I89" i="5"/>
  <c r="I91" i="5" s="1"/>
  <c r="G39" i="13" s="1"/>
  <c r="G122" i="13"/>
  <c r="G105" i="5"/>
  <c r="F144" i="13"/>
  <c r="F156" i="13"/>
  <c r="L197" i="5"/>
  <c r="J188" i="13" s="1"/>
  <c r="I188" i="13"/>
  <c r="L135" i="5"/>
  <c r="J148" i="13" s="1"/>
  <c r="I148" i="13"/>
  <c r="L65" i="5"/>
  <c r="J107" i="13" s="1"/>
  <c r="I107" i="13"/>
  <c r="K120" i="5"/>
  <c r="H131" i="13"/>
  <c r="H132" i="13" s="1"/>
  <c r="J121" i="5"/>
  <c r="L195" i="5"/>
  <c r="I186" i="13"/>
  <c r="K198" i="5"/>
  <c r="G54" i="13"/>
  <c r="G57" i="13" s="1"/>
  <c r="J150" i="5"/>
  <c r="I153" i="5"/>
  <c r="K110" i="5"/>
  <c r="H119" i="13"/>
  <c r="J43" i="5"/>
  <c r="G81" i="13"/>
  <c r="I44" i="5"/>
  <c r="I102" i="5"/>
  <c r="F49" i="13"/>
  <c r="K111" i="5"/>
  <c r="H120" i="13"/>
  <c r="J141" i="5"/>
  <c r="G155" i="13"/>
  <c r="F26" i="13"/>
  <c r="I32" i="5"/>
  <c r="J94" i="5"/>
  <c r="G42" i="13"/>
  <c r="L136" i="5"/>
  <c r="I149" i="13"/>
  <c r="K137" i="5"/>
  <c r="K192" i="5"/>
  <c r="H182" i="13"/>
  <c r="H183" i="13" s="1"/>
  <c r="J193" i="5"/>
  <c r="J140" i="5"/>
  <c r="G154" i="13"/>
  <c r="K151" i="5"/>
  <c r="H55" i="13"/>
  <c r="K200" i="5"/>
  <c r="H192" i="13"/>
  <c r="H193" i="13" s="1"/>
  <c r="J201" i="5"/>
  <c r="I142" i="5"/>
  <c r="J86" i="5"/>
  <c r="G33" i="13"/>
  <c r="F7" i="13"/>
  <c r="I13" i="5"/>
  <c r="J40" i="5"/>
  <c r="G80" i="13"/>
  <c r="J108" i="13"/>
  <c r="I11" i="5"/>
  <c r="F5" i="13"/>
  <c r="H17" i="5"/>
  <c r="E45" i="13"/>
  <c r="E51" i="13" s="1"/>
  <c r="H97" i="5"/>
  <c r="L183" i="5"/>
  <c r="I177" i="13"/>
  <c r="I179" i="13" s="1"/>
  <c r="K184" i="5"/>
  <c r="J61" i="5"/>
  <c r="G102" i="13"/>
  <c r="L196" i="5"/>
  <c r="J187" i="13" s="1"/>
  <c r="I187" i="13"/>
  <c r="G19" i="5"/>
  <c r="G21" i="5"/>
  <c r="E16" i="13" s="1"/>
  <c r="G20" i="5"/>
  <c r="E15" i="13" s="1"/>
  <c r="G29" i="5"/>
  <c r="E23" i="13" s="1"/>
  <c r="F82" i="13"/>
  <c r="K168" i="5"/>
  <c r="H163" i="13"/>
  <c r="H165" i="13" s="1"/>
  <c r="J169" i="5"/>
  <c r="J60" i="5"/>
  <c r="G101" i="13"/>
  <c r="I63" i="5"/>
  <c r="J129" i="5"/>
  <c r="G141" i="13"/>
  <c r="K139" i="5"/>
  <c r="H153" i="13"/>
  <c r="G30" i="13"/>
  <c r="J81" i="5"/>
  <c r="G35" i="13"/>
  <c r="I12" i="5"/>
  <c r="F6" i="13"/>
  <c r="L69" i="5"/>
  <c r="J109" i="13" s="1"/>
  <c r="I109" i="13"/>
  <c r="I110" i="13" s="1"/>
  <c r="J39" i="5"/>
  <c r="G79" i="13"/>
  <c r="I41" i="5"/>
  <c r="I24" i="5"/>
  <c r="F19" i="13"/>
  <c r="J161" i="5"/>
  <c r="G66" i="13"/>
  <c r="J113" i="5"/>
  <c r="G140" i="13"/>
  <c r="I132" i="5"/>
  <c r="J128" i="5"/>
  <c r="H155" i="5"/>
  <c r="H162" i="5"/>
  <c r="F67" i="13" s="1"/>
  <c r="H158" i="5"/>
  <c r="F63" i="13" s="1"/>
  <c r="H156" i="5"/>
  <c r="F61" i="13" s="1"/>
  <c r="J62" i="5"/>
  <c r="G103" i="13"/>
  <c r="K28" i="5"/>
  <c r="H22" i="13"/>
  <c r="I103" i="5"/>
  <c r="F50" i="13"/>
  <c r="J165" i="5"/>
  <c r="G70" i="13"/>
  <c r="K112" i="5"/>
  <c r="H121" i="13"/>
  <c r="I15" i="5"/>
  <c r="F9" i="13"/>
  <c r="H189" i="13"/>
  <c r="D216" i="13"/>
  <c r="L32" i="4"/>
  <c r="H98" i="5"/>
  <c r="F46" i="13" s="1"/>
  <c r="H93" i="5"/>
  <c r="F41" i="13" s="1"/>
  <c r="H92" i="5"/>
  <c r="F40" i="13" s="1"/>
  <c r="H91" i="5"/>
  <c r="J26" i="5"/>
  <c r="H21" i="13" s="1"/>
  <c r="J79" i="5"/>
  <c r="D27" i="13"/>
  <c r="F34" i="5"/>
  <c r="F91" i="5"/>
  <c r="D39" i="13" s="1"/>
  <c r="F93" i="5"/>
  <c r="D41" i="13" s="1"/>
  <c r="F92" i="5"/>
  <c r="D40" i="13" s="1"/>
  <c r="F158" i="5"/>
  <c r="D63" i="13" s="1"/>
  <c r="F156" i="5"/>
  <c r="D61" i="13" s="1"/>
  <c r="F155" i="5"/>
  <c r="F256" i="5"/>
  <c r="C15" i="12"/>
  <c r="C7" i="12"/>
  <c r="C213" i="13"/>
  <c r="C205" i="13"/>
  <c r="C206" i="13" s="1"/>
  <c r="C201" i="13"/>
  <c r="C200" i="13"/>
  <c r="C198" i="13"/>
  <c r="C197" i="13"/>
  <c r="C196" i="13"/>
  <c r="C192" i="13"/>
  <c r="C193" i="13" s="1"/>
  <c r="C188" i="13"/>
  <c r="C187" i="13"/>
  <c r="C186" i="13"/>
  <c r="C182" i="13"/>
  <c r="C183" i="13" s="1"/>
  <c r="C178" i="13"/>
  <c r="C177" i="13"/>
  <c r="C173" i="13"/>
  <c r="C172" i="13"/>
  <c r="C168" i="13"/>
  <c r="C169" i="13" s="1"/>
  <c r="C164" i="13"/>
  <c r="C163" i="13"/>
  <c r="C159" i="13"/>
  <c r="C160" i="13" s="1"/>
  <c r="C155" i="13"/>
  <c r="C154" i="13"/>
  <c r="C153" i="13"/>
  <c r="C149" i="13"/>
  <c r="C148" i="13"/>
  <c r="C147" i="13"/>
  <c r="C143" i="13"/>
  <c r="C142" i="13"/>
  <c r="C141" i="13"/>
  <c r="C140" i="13"/>
  <c r="C139" i="13"/>
  <c r="C138" i="13"/>
  <c r="C137" i="13"/>
  <c r="C136" i="13"/>
  <c r="C135" i="13"/>
  <c r="C131" i="13"/>
  <c r="C130" i="13"/>
  <c r="C129" i="13"/>
  <c r="C125" i="13"/>
  <c r="C126" i="13" s="1"/>
  <c r="C121" i="13"/>
  <c r="C120" i="13"/>
  <c r="C119" i="13"/>
  <c r="C115" i="13"/>
  <c r="C114" i="13"/>
  <c r="C113" i="13"/>
  <c r="C109" i="13"/>
  <c r="C107" i="13"/>
  <c r="C103" i="13"/>
  <c r="C102" i="13"/>
  <c r="C101" i="13"/>
  <c r="C97" i="13"/>
  <c r="C96" i="13"/>
  <c r="C95" i="13"/>
  <c r="C94" i="13"/>
  <c r="C90" i="13"/>
  <c r="C89" i="13"/>
  <c r="C88" i="13"/>
  <c r="C87" i="13"/>
  <c r="C86" i="13"/>
  <c r="C85" i="13"/>
  <c r="C81" i="13"/>
  <c r="C80" i="13"/>
  <c r="C79" i="13"/>
  <c r="C70" i="13"/>
  <c r="C69" i="13"/>
  <c r="C68" i="13"/>
  <c r="C67" i="13"/>
  <c r="C66" i="13"/>
  <c r="C65" i="13"/>
  <c r="C64" i="13"/>
  <c r="C63" i="13"/>
  <c r="C62" i="13"/>
  <c r="C61" i="13"/>
  <c r="C60" i="13"/>
  <c r="C56" i="13"/>
  <c r="C55" i="13"/>
  <c r="C54" i="13"/>
  <c r="C50" i="13"/>
  <c r="C49" i="13"/>
  <c r="C48" i="13"/>
  <c r="C46" i="13"/>
  <c r="C45" i="13"/>
  <c r="C44" i="13"/>
  <c r="C43" i="13"/>
  <c r="C42" i="13"/>
  <c r="C41" i="13"/>
  <c r="C40" i="13"/>
  <c r="C39" i="13"/>
  <c r="C35" i="13"/>
  <c r="C34" i="13"/>
  <c r="C33" i="13"/>
  <c r="C32" i="13"/>
  <c r="C31" i="13"/>
  <c r="C30" i="13"/>
  <c r="C26" i="13"/>
  <c r="C25" i="13"/>
  <c r="C24" i="13"/>
  <c r="C23" i="13"/>
  <c r="C22" i="13"/>
  <c r="C21" i="13"/>
  <c r="C20" i="13"/>
  <c r="C19" i="13"/>
  <c r="C18" i="13"/>
  <c r="C17" i="13"/>
  <c r="C16" i="13"/>
  <c r="C15" i="13"/>
  <c r="C14" i="13"/>
  <c r="C10" i="13"/>
  <c r="C9" i="13"/>
  <c r="C8" i="13"/>
  <c r="C7" i="13"/>
  <c r="C6" i="13"/>
  <c r="C5" i="13"/>
  <c r="C9" i="5"/>
  <c r="C240" i="5"/>
  <c r="C116" i="5"/>
  <c r="I93" i="5" l="1"/>
  <c r="G41" i="13" s="1"/>
  <c r="I98" i="5"/>
  <c r="G46" i="13" s="1"/>
  <c r="I92" i="5"/>
  <c r="G40" i="13" s="1"/>
  <c r="G144" i="13"/>
  <c r="J110" i="13"/>
  <c r="G156" i="13"/>
  <c r="F216" i="13"/>
  <c r="J142" i="5"/>
  <c r="G36" i="13"/>
  <c r="I150" i="13"/>
  <c r="G82" i="13"/>
  <c r="L112" i="5"/>
  <c r="J121" i="13" s="1"/>
  <c r="I121" i="13"/>
  <c r="K62" i="5"/>
  <c r="H103" i="13"/>
  <c r="K39" i="5"/>
  <c r="H79" i="13"/>
  <c r="J41" i="5"/>
  <c r="K60" i="5"/>
  <c r="H101" i="13"/>
  <c r="J63" i="5"/>
  <c r="E14" i="13"/>
  <c r="E27" i="13" s="1"/>
  <c r="E73" i="13" s="1"/>
  <c r="E218" i="13" s="1"/>
  <c r="G34" i="5"/>
  <c r="G246" i="5" s="1"/>
  <c r="I97" i="5"/>
  <c r="I105" i="5" s="1"/>
  <c r="F45" i="13"/>
  <c r="L192" i="5"/>
  <c r="I182" i="13"/>
  <c r="I183" i="13" s="1"/>
  <c r="K193" i="5"/>
  <c r="G104" i="13"/>
  <c r="G26" i="13"/>
  <c r="J32" i="5"/>
  <c r="H105" i="5"/>
  <c r="F39" i="13"/>
  <c r="K40" i="5"/>
  <c r="H80" i="13"/>
  <c r="L200" i="5"/>
  <c r="I192" i="13"/>
  <c r="I193" i="13" s="1"/>
  <c r="K201" i="5"/>
  <c r="I189" i="13"/>
  <c r="H30" i="13"/>
  <c r="K81" i="5"/>
  <c r="J89" i="5"/>
  <c r="J177" i="13"/>
  <c r="J179" i="13" s="1"/>
  <c r="L184" i="5"/>
  <c r="J102" i="5"/>
  <c r="G49" i="13"/>
  <c r="K165" i="5"/>
  <c r="H70" i="13"/>
  <c r="K161" i="5"/>
  <c r="H66" i="13"/>
  <c r="G7" i="13"/>
  <c r="J13" i="5"/>
  <c r="K141" i="5"/>
  <c r="H155" i="13"/>
  <c r="K43" i="5"/>
  <c r="H81" i="13"/>
  <c r="J44" i="5"/>
  <c r="J186" i="13"/>
  <c r="J189" i="13" s="1"/>
  <c r="L198" i="5"/>
  <c r="L139" i="5"/>
  <c r="I153" i="13"/>
  <c r="L168" i="5"/>
  <c r="I163" i="13"/>
  <c r="I165" i="13" s="1"/>
  <c r="K169" i="5"/>
  <c r="H19" i="5"/>
  <c r="H21" i="5"/>
  <c r="F16" i="13" s="1"/>
  <c r="H20" i="5"/>
  <c r="F15" i="13" s="1"/>
  <c r="H29" i="5"/>
  <c r="F23" i="13" s="1"/>
  <c r="L151" i="5"/>
  <c r="J55" i="13" s="1"/>
  <c r="I55" i="13"/>
  <c r="H122" i="13"/>
  <c r="F166" i="5"/>
  <c r="D60" i="13"/>
  <c r="D71" i="13" s="1"/>
  <c r="J103" i="5"/>
  <c r="G50" i="13"/>
  <c r="F60" i="13"/>
  <c r="F71" i="13" s="1"/>
  <c r="H166" i="5"/>
  <c r="G6" i="13"/>
  <c r="J12" i="5"/>
  <c r="H6" i="13" s="1"/>
  <c r="K61" i="5"/>
  <c r="H102" i="13"/>
  <c r="F11" i="13"/>
  <c r="J149" i="13"/>
  <c r="J150" i="13" s="1"/>
  <c r="L137" i="5"/>
  <c r="L111" i="5"/>
  <c r="J120" i="13" s="1"/>
  <c r="I120" i="13"/>
  <c r="L110" i="5"/>
  <c r="I119" i="13"/>
  <c r="K113" i="5"/>
  <c r="K128" i="5"/>
  <c r="H140" i="13"/>
  <c r="J132" i="5"/>
  <c r="J24" i="5"/>
  <c r="G19" i="13"/>
  <c r="K129" i="5"/>
  <c r="H141" i="13"/>
  <c r="J11" i="5"/>
  <c r="G5" i="13"/>
  <c r="I17" i="5"/>
  <c r="K86" i="5"/>
  <c r="H33" i="13"/>
  <c r="K140" i="5"/>
  <c r="H154" i="13"/>
  <c r="H156" i="13" s="1"/>
  <c r="I162" i="5"/>
  <c r="G67" i="13" s="1"/>
  <c r="I158" i="5"/>
  <c r="G63" i="13" s="1"/>
  <c r="I156" i="5"/>
  <c r="G61" i="13" s="1"/>
  <c r="I155" i="5"/>
  <c r="L120" i="5"/>
  <c r="I131" i="13"/>
  <c r="I132" i="13" s="1"/>
  <c r="K121" i="5"/>
  <c r="J15" i="5"/>
  <c r="G9" i="13"/>
  <c r="L28" i="5"/>
  <c r="J22" i="13" s="1"/>
  <c r="I22" i="13"/>
  <c r="K88" i="5"/>
  <c r="H35" i="13"/>
  <c r="L70" i="5"/>
  <c r="K94" i="5"/>
  <c r="H42" i="13"/>
  <c r="H54" i="13"/>
  <c r="H57" i="13" s="1"/>
  <c r="K150" i="5"/>
  <c r="J153" i="5"/>
  <c r="L31" i="4"/>
  <c r="I251" i="5" s="1"/>
  <c r="I256" i="5"/>
  <c r="M32" i="4"/>
  <c r="K26" i="5"/>
  <c r="I21" i="13" s="1"/>
  <c r="K79" i="5"/>
  <c r="L79" i="5"/>
  <c r="D51" i="13"/>
  <c r="D73" i="13" s="1"/>
  <c r="D218" i="13" s="1"/>
  <c r="F105" i="5"/>
  <c r="C104" i="13"/>
  <c r="C110" i="13"/>
  <c r="C57" i="13"/>
  <c r="C122" i="13"/>
  <c r="C150" i="13"/>
  <c r="C116" i="13"/>
  <c r="C36" i="13"/>
  <c r="C98" i="13"/>
  <c r="C202" i="13"/>
  <c r="C27" i="13"/>
  <c r="C82" i="13"/>
  <c r="C174" i="13"/>
  <c r="C91" i="13"/>
  <c r="C156" i="13"/>
  <c r="C71" i="13"/>
  <c r="C132" i="13"/>
  <c r="C179" i="13"/>
  <c r="C144" i="13"/>
  <c r="C189" i="13"/>
  <c r="C51" i="13"/>
  <c r="C165" i="13"/>
  <c r="C11" i="13"/>
  <c r="E9" i="5"/>
  <c r="E243" i="5"/>
  <c r="E240" i="5"/>
  <c r="E232" i="5"/>
  <c r="E229" i="5"/>
  <c r="E226" i="5"/>
  <c r="C209" i="13" s="1"/>
  <c r="C214" i="13" s="1"/>
  <c r="E223" i="5"/>
  <c r="E220" i="5"/>
  <c r="E216" i="5"/>
  <c r="E213" i="5"/>
  <c r="E207" i="5"/>
  <c r="E204" i="5"/>
  <c r="E201" i="5"/>
  <c r="E198" i="5"/>
  <c r="E190" i="5"/>
  <c r="E187" i="5"/>
  <c r="E184" i="5"/>
  <c r="E181" i="5"/>
  <c r="E177" i="5"/>
  <c r="E172" i="5"/>
  <c r="E169" i="5"/>
  <c r="E166" i="5"/>
  <c r="E153" i="5"/>
  <c r="E145" i="5"/>
  <c r="E142" i="5"/>
  <c r="E137" i="5"/>
  <c r="E132" i="5"/>
  <c r="E121" i="5"/>
  <c r="E116" i="5"/>
  <c r="E113" i="5"/>
  <c r="E105" i="5"/>
  <c r="E89" i="5"/>
  <c r="E79" i="5"/>
  <c r="E70" i="5"/>
  <c r="E63" i="5"/>
  <c r="E58" i="5"/>
  <c r="E52" i="5"/>
  <c r="E44" i="5"/>
  <c r="E41" i="5"/>
  <c r="E34" i="5"/>
  <c r="E17" i="5"/>
  <c r="C17" i="5"/>
  <c r="C246" i="5" s="1"/>
  <c r="C245" i="5" s="1"/>
  <c r="F32" i="4"/>
  <c r="F31" i="4" s="1"/>
  <c r="H144" i="13" l="1"/>
  <c r="F246" i="5"/>
  <c r="F257" i="5" s="1"/>
  <c r="F258" i="5" s="1"/>
  <c r="K142" i="5"/>
  <c r="G216" i="13"/>
  <c r="K12" i="5"/>
  <c r="I6" i="13" s="1"/>
  <c r="G11" i="13"/>
  <c r="H82" i="13"/>
  <c r="L88" i="5"/>
  <c r="J35" i="13" s="1"/>
  <c r="I35" i="13"/>
  <c r="J131" i="13"/>
  <c r="J132" i="13" s="1"/>
  <c r="L121" i="5"/>
  <c r="L86" i="5"/>
  <c r="J33" i="13" s="1"/>
  <c r="I33" i="13"/>
  <c r="L165" i="5"/>
  <c r="J70" i="13" s="1"/>
  <c r="I70" i="13"/>
  <c r="H26" i="13"/>
  <c r="K32" i="5"/>
  <c r="J97" i="5"/>
  <c r="G45" i="13"/>
  <c r="G51" i="13" s="1"/>
  <c r="L39" i="5"/>
  <c r="I79" i="13"/>
  <c r="K41" i="5"/>
  <c r="J163" i="13"/>
  <c r="J165" i="13" s="1"/>
  <c r="L169" i="5"/>
  <c r="L141" i="5"/>
  <c r="J155" i="13" s="1"/>
  <c r="I155" i="13"/>
  <c r="G257" i="5"/>
  <c r="G258" i="5" s="1"/>
  <c r="G245" i="5"/>
  <c r="G252" i="5" s="1"/>
  <c r="G253" i="5" s="1"/>
  <c r="L12" i="5"/>
  <c r="L150" i="5"/>
  <c r="I54" i="13"/>
  <c r="I57" i="13" s="1"/>
  <c r="K153" i="5"/>
  <c r="I140" i="13"/>
  <c r="K132" i="5"/>
  <c r="L128" i="5"/>
  <c r="J153" i="13"/>
  <c r="H7" i="13"/>
  <c r="K13" i="5"/>
  <c r="K102" i="5"/>
  <c r="H49" i="13"/>
  <c r="L62" i="5"/>
  <c r="J103" i="13" s="1"/>
  <c r="I103" i="13"/>
  <c r="H36" i="13"/>
  <c r="I21" i="5"/>
  <c r="G16" i="13" s="1"/>
  <c r="I20" i="5"/>
  <c r="G15" i="13" s="1"/>
  <c r="I29" i="5"/>
  <c r="G23" i="13" s="1"/>
  <c r="I19" i="5"/>
  <c r="K11" i="5"/>
  <c r="H5" i="13"/>
  <c r="J17" i="5"/>
  <c r="K103" i="5"/>
  <c r="H50" i="13"/>
  <c r="J192" i="13"/>
  <c r="J193" i="13" s="1"/>
  <c r="L201" i="5"/>
  <c r="J155" i="5"/>
  <c r="J162" i="5"/>
  <c r="H67" i="13" s="1"/>
  <c r="J156" i="5"/>
  <c r="H61" i="13" s="1"/>
  <c r="J158" i="5"/>
  <c r="H63" i="13" s="1"/>
  <c r="G60" i="13"/>
  <c r="G71" i="13" s="1"/>
  <c r="I166" i="5"/>
  <c r="K15" i="5"/>
  <c r="H9" i="13"/>
  <c r="I122" i="13"/>
  <c r="L61" i="5"/>
  <c r="J102" i="13" s="1"/>
  <c r="I102" i="13"/>
  <c r="F14" i="13"/>
  <c r="F27" i="13" s="1"/>
  <c r="H34" i="5"/>
  <c r="H246" i="5" s="1"/>
  <c r="H104" i="13"/>
  <c r="K24" i="5"/>
  <c r="H19" i="13"/>
  <c r="L43" i="5"/>
  <c r="I81" i="13"/>
  <c r="K44" i="5"/>
  <c r="L129" i="5"/>
  <c r="J141" i="13" s="1"/>
  <c r="I141" i="13"/>
  <c r="J119" i="13"/>
  <c r="J122" i="13" s="1"/>
  <c r="L113" i="5"/>
  <c r="J92" i="5"/>
  <c r="H40" i="13" s="1"/>
  <c r="J98" i="5"/>
  <c r="H46" i="13" s="1"/>
  <c r="J93" i="5"/>
  <c r="H41" i="13" s="1"/>
  <c r="J91" i="5"/>
  <c r="L40" i="5"/>
  <c r="J80" i="13" s="1"/>
  <c r="I80" i="13"/>
  <c r="J182" i="13"/>
  <c r="J183" i="13" s="1"/>
  <c r="L193" i="5"/>
  <c r="L60" i="5"/>
  <c r="I101" i="13"/>
  <c r="K63" i="5"/>
  <c r="L94" i="5"/>
  <c r="J42" i="13" s="1"/>
  <c r="I42" i="13"/>
  <c r="L140" i="5"/>
  <c r="J154" i="13" s="1"/>
  <c r="I154" i="13"/>
  <c r="I156" i="13" s="1"/>
  <c r="L161" i="5"/>
  <c r="J66" i="13" s="1"/>
  <c r="I66" i="13"/>
  <c r="I30" i="13"/>
  <c r="L81" i="5"/>
  <c r="K89" i="5"/>
  <c r="F51" i="13"/>
  <c r="F73" i="13" s="1"/>
  <c r="F218" i="13" s="1"/>
  <c r="J256" i="5"/>
  <c r="M31" i="4"/>
  <c r="J251" i="5" s="1"/>
  <c r="O32" i="4"/>
  <c r="N32" i="4"/>
  <c r="L26" i="5"/>
  <c r="F245" i="5"/>
  <c r="F252" i="5" s="1"/>
  <c r="F253" i="5" s="1"/>
  <c r="E251" i="5"/>
  <c r="E256" i="5"/>
  <c r="C216" i="13"/>
  <c r="C73" i="13"/>
  <c r="E246" i="5"/>
  <c r="H216" i="13" l="1"/>
  <c r="I36" i="13"/>
  <c r="H11" i="13"/>
  <c r="I144" i="13"/>
  <c r="I104" i="13"/>
  <c r="C218" i="13"/>
  <c r="L11" i="5"/>
  <c r="J5" i="13" s="1"/>
  <c r="I5" i="13"/>
  <c r="K17" i="5"/>
  <c r="J81" i="13"/>
  <c r="L44" i="5"/>
  <c r="H60" i="13"/>
  <c r="H71" i="13" s="1"/>
  <c r="J166" i="5"/>
  <c r="G14" i="13"/>
  <c r="G27" i="13" s="1"/>
  <c r="G73" i="13" s="1"/>
  <c r="G218" i="13" s="1"/>
  <c r="I34" i="5"/>
  <c r="I246" i="5" s="1"/>
  <c r="J79" i="13"/>
  <c r="L41" i="5"/>
  <c r="J101" i="13"/>
  <c r="J104" i="13" s="1"/>
  <c r="L63" i="5"/>
  <c r="L102" i="5"/>
  <c r="J49" i="13" s="1"/>
  <c r="I49" i="13"/>
  <c r="K162" i="5"/>
  <c r="I67" i="13" s="1"/>
  <c r="K158" i="5"/>
  <c r="I63" i="13" s="1"/>
  <c r="K156" i="5"/>
  <c r="I61" i="13" s="1"/>
  <c r="K155" i="5"/>
  <c r="J30" i="13"/>
  <c r="J36" i="13" s="1"/>
  <c r="L89" i="5"/>
  <c r="I82" i="13"/>
  <c r="L24" i="5"/>
  <c r="J19" i="13" s="1"/>
  <c r="I19" i="13"/>
  <c r="L15" i="5"/>
  <c r="J9" i="13" s="1"/>
  <c r="I9" i="13"/>
  <c r="I7" i="13"/>
  <c r="L13" i="5"/>
  <c r="J7" i="13" s="1"/>
  <c r="K97" i="5"/>
  <c r="H45" i="13"/>
  <c r="J54" i="13"/>
  <c r="J57" i="13" s="1"/>
  <c r="L153" i="5"/>
  <c r="I26" i="13"/>
  <c r="L32" i="5"/>
  <c r="J26" i="13" s="1"/>
  <c r="H257" i="5"/>
  <c r="H258" i="5" s="1"/>
  <c r="H245" i="5"/>
  <c r="H252" i="5" s="1"/>
  <c r="H253" i="5" s="1"/>
  <c r="J21" i="13"/>
  <c r="L103" i="5"/>
  <c r="J50" i="13" s="1"/>
  <c r="I50" i="13"/>
  <c r="L142" i="5"/>
  <c r="J21" i="5"/>
  <c r="H16" i="13" s="1"/>
  <c r="J20" i="5"/>
  <c r="H15" i="13" s="1"/>
  <c r="J19" i="5"/>
  <c r="J29" i="5"/>
  <c r="H23" i="13" s="1"/>
  <c r="J156" i="13"/>
  <c r="J6" i="13"/>
  <c r="K92" i="5"/>
  <c r="I40" i="13" s="1"/>
  <c r="K91" i="5"/>
  <c r="K98" i="5"/>
  <c r="I46" i="13" s="1"/>
  <c r="K93" i="5"/>
  <c r="I41" i="13" s="1"/>
  <c r="H39" i="13"/>
  <c r="J105" i="5"/>
  <c r="J140" i="13"/>
  <c r="J144" i="13" s="1"/>
  <c r="L132" i="5"/>
  <c r="O31" i="4"/>
  <c r="L251" i="5" s="1"/>
  <c r="L256" i="5"/>
  <c r="N31" i="4"/>
  <c r="K251" i="5" s="1"/>
  <c r="K256" i="5"/>
  <c r="E245" i="5"/>
  <c r="E252" i="5" s="1"/>
  <c r="E253" i="5" s="1"/>
  <c r="E257" i="5"/>
  <c r="E258" i="5" s="1"/>
  <c r="I216" i="13" l="1"/>
  <c r="H51" i="13"/>
  <c r="L17" i="5"/>
  <c r="L21" i="5" s="1"/>
  <c r="J16" i="13" s="1"/>
  <c r="I39" i="13"/>
  <c r="K105" i="5"/>
  <c r="L93" i="5"/>
  <c r="J41" i="13" s="1"/>
  <c r="L98" i="5"/>
  <c r="J46" i="13" s="1"/>
  <c r="L92" i="5"/>
  <c r="J40" i="13" s="1"/>
  <c r="L91" i="5"/>
  <c r="L97" i="5"/>
  <c r="J45" i="13" s="1"/>
  <c r="I45" i="13"/>
  <c r="I60" i="13"/>
  <c r="I71" i="13" s="1"/>
  <c r="K166" i="5"/>
  <c r="K21" i="5"/>
  <c r="I16" i="13" s="1"/>
  <c r="K19" i="5"/>
  <c r="K29" i="5"/>
  <c r="I23" i="13" s="1"/>
  <c r="K20" i="5"/>
  <c r="I15" i="13" s="1"/>
  <c r="L29" i="5"/>
  <c r="J23" i="13" s="1"/>
  <c r="L20" i="5"/>
  <c r="J15" i="13" s="1"/>
  <c r="L19" i="5"/>
  <c r="L162" i="5"/>
  <c r="J67" i="13" s="1"/>
  <c r="L158" i="5"/>
  <c r="J63" i="13" s="1"/>
  <c r="L156" i="5"/>
  <c r="J61" i="13" s="1"/>
  <c r="L155" i="5"/>
  <c r="J82" i="13"/>
  <c r="J216" i="13" s="1"/>
  <c r="I11" i="13"/>
  <c r="J11" i="13"/>
  <c r="I257" i="5"/>
  <c r="I258" i="5" s="1"/>
  <c r="I245" i="5"/>
  <c r="I252" i="5" s="1"/>
  <c r="I253" i="5" s="1"/>
  <c r="H14" i="13"/>
  <c r="H27" i="13" s="1"/>
  <c r="H73" i="13" s="1"/>
  <c r="H218" i="13" s="1"/>
  <c r="J34" i="5"/>
  <c r="J246" i="5" s="1"/>
  <c r="E23" i="4"/>
  <c r="E11" i="4"/>
  <c r="I14" i="13" l="1"/>
  <c r="I27" i="13" s="1"/>
  <c r="K34" i="5"/>
  <c r="K246" i="5" s="1"/>
  <c r="J14" i="13"/>
  <c r="J27" i="13" s="1"/>
  <c r="L34" i="5"/>
  <c r="I51" i="13"/>
  <c r="J245" i="5"/>
  <c r="J252" i="5" s="1"/>
  <c r="J253" i="5" s="1"/>
  <c r="J257" i="5"/>
  <c r="J258" i="5" s="1"/>
  <c r="J60" i="13"/>
  <c r="J71" i="13" s="1"/>
  <c r="L166" i="5"/>
  <c r="J39" i="13"/>
  <c r="J51" i="13" s="1"/>
  <c r="L105" i="5"/>
  <c r="D23" i="4"/>
  <c r="D11" i="4"/>
  <c r="C11" i="4"/>
  <c r="D39" i="8"/>
  <c r="D13" i="11"/>
  <c r="D7" i="11"/>
  <c r="D7" i="8"/>
  <c r="D7" i="7"/>
  <c r="C17" i="3"/>
  <c r="C23" i="3"/>
  <c r="D13" i="7"/>
  <c r="I23" i="3"/>
  <c r="I17" i="3"/>
  <c r="I25" i="3"/>
  <c r="I27" i="3"/>
  <c r="H23" i="3"/>
  <c r="G23" i="3"/>
  <c r="E23" i="3"/>
  <c r="F23" i="3"/>
  <c r="D23" i="3"/>
  <c r="E42" i="4"/>
  <c r="D42" i="4"/>
  <c r="C42" i="4"/>
  <c r="H17" i="3"/>
  <c r="H25" i="3"/>
  <c r="G17" i="3"/>
  <c r="G25" i="3"/>
  <c r="F17" i="3"/>
  <c r="F25" i="3"/>
  <c r="E17" i="3"/>
  <c r="E25" i="3"/>
  <c r="E27" i="3"/>
  <c r="D17" i="3"/>
  <c r="D25" i="3"/>
  <c r="C25" i="3"/>
  <c r="C27" i="3"/>
  <c r="C29" i="3"/>
  <c r="G27" i="3"/>
  <c r="G29" i="3"/>
  <c r="D27" i="3"/>
  <c r="D29" i="3"/>
  <c r="H27" i="3"/>
  <c r="H29" i="3"/>
  <c r="F27" i="3"/>
  <c r="E29" i="3"/>
  <c r="F29" i="3"/>
  <c r="I29" i="3"/>
  <c r="I73" i="13" l="1"/>
  <c r="I218" i="13" s="1"/>
  <c r="L246" i="5"/>
  <c r="K245" i="5"/>
  <c r="K252" i="5" s="1"/>
  <c r="K253" i="5" s="1"/>
  <c r="K257" i="5"/>
  <c r="K258" i="5" s="1"/>
  <c r="J73" i="13"/>
  <c r="J218" i="13" s="1"/>
  <c r="L257" i="5" l="1"/>
  <c r="L258" i="5" s="1"/>
  <c r="L245" i="5"/>
  <c r="L252" i="5" s="1"/>
  <c r="L25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Nathan Butler</author>
  </authors>
  <commentList>
    <comment ref="H4" authorId="0" shapeId="0" xr:uid="{88EDC211-6547-4696-B62A-5AE717556415}">
      <text>
        <r>
          <rPr>
            <b/>
            <sz val="9"/>
            <color indexed="81"/>
            <rFont val="Tahoma"/>
            <family val="2"/>
          </rPr>
          <t>Nathan Butler:</t>
        </r>
        <r>
          <rPr>
            <sz val="9"/>
            <color indexed="81"/>
            <rFont val="Tahoma"/>
            <family val="2"/>
          </rPr>
          <t xml:space="preserve">
Includes $343,000 investments </t>
        </r>
      </text>
    </comment>
    <comment ref="I5" authorId="0" shapeId="0" xr:uid="{7495A85A-FE17-4314-AEFB-DF90C4B28B7C}">
      <text>
        <r>
          <rPr>
            <b/>
            <sz val="9"/>
            <color indexed="81"/>
            <rFont val="Tahoma"/>
            <family val="2"/>
          </rPr>
          <t>Nathan Butler:</t>
        </r>
        <r>
          <rPr>
            <sz val="9"/>
            <color indexed="81"/>
            <rFont val="Tahoma"/>
            <family val="2"/>
          </rPr>
          <t xml:space="preserve">
Based on updated assessor's numbers 11/2021. Very close to original estimate.  </t>
        </r>
      </text>
    </comment>
    <comment ref="J5" authorId="0" shapeId="0" xr:uid="{2A0643B5-4421-43C7-81C6-B5E6656FD409}">
      <text>
        <r>
          <rPr>
            <b/>
            <sz val="9"/>
            <color indexed="81"/>
            <rFont val="Tahoma"/>
            <family val="2"/>
          </rPr>
          <t>Nathan Butler:</t>
        </r>
        <r>
          <rPr>
            <sz val="9"/>
            <color indexed="81"/>
            <rFont val="Tahoma"/>
            <family val="2"/>
          </rPr>
          <t xml:space="preserve">
Assessor certified $4,484,155,663 in assessed value for the 2022 levy collection. We estimate 3% value increase to be safe, or $4,618,680,332. A $0.45 tax rate would generate $2,078,400.
We would then, for the next six years, be receiving no more than 1% of the increased assessed values even as costs go up miuch more quickly, so it's important this tax rate can sustain us for six years. We have seen cost increase by as much as 10% just in 2022. 
It is entirely possible for property values to start decreasing, but it is not the most likely scenario. </t>
        </r>
      </text>
    </comment>
    <comment ref="K5" authorId="0" shapeId="0" xr:uid="{FECFAB2B-0CA1-4382-9F43-D4D88E061967}">
      <text>
        <r>
          <rPr>
            <b/>
            <sz val="9"/>
            <color indexed="81"/>
            <rFont val="Tahoma"/>
            <family val="2"/>
          </rPr>
          <t>Nathan Butler:</t>
        </r>
        <r>
          <rPr>
            <sz val="9"/>
            <color indexed="81"/>
            <rFont val="Tahoma"/>
            <family val="2"/>
          </rPr>
          <t xml:space="preserve">
Increasing by 1% plus an estimate for new construction, combined = 2.5% increase</t>
        </r>
      </text>
    </comment>
    <comment ref="H6" authorId="0" shapeId="0" xr:uid="{BAF1A42D-C353-4173-A5D9-5B24FA4F10BC}">
      <text>
        <r>
          <rPr>
            <b/>
            <sz val="9"/>
            <color indexed="81"/>
            <rFont val="Tahoma"/>
            <family val="2"/>
          </rPr>
          <t>Nathan Butler:</t>
        </r>
        <r>
          <rPr>
            <sz val="9"/>
            <color indexed="81"/>
            <rFont val="Tahoma"/>
            <family val="2"/>
          </rPr>
          <t xml:space="preserve">
No additional funding</t>
        </r>
      </text>
    </comment>
    <comment ref="F7" authorId="0" shapeId="0" xr:uid="{109B2106-68A4-4F15-9453-5E9F3798ABDD}">
      <text>
        <r>
          <rPr>
            <b/>
            <sz val="9"/>
            <color indexed="81"/>
            <rFont val="Tahoma"/>
            <family val="2"/>
          </rPr>
          <t>Nathan Butler:</t>
        </r>
        <r>
          <rPr>
            <sz val="9"/>
            <color indexed="81"/>
            <rFont val="Tahoma"/>
            <family val="2"/>
          </rPr>
          <t xml:space="preserve">
We had to pay back about $60,000 due to mistaken filings in prior years by prior administrations </t>
        </r>
      </text>
    </comment>
    <comment ref="G7" authorId="0" shapeId="0" xr:uid="{83E6C766-7C59-4BFA-B3D5-C1879125A7F6}">
      <text>
        <r>
          <rPr>
            <b/>
            <sz val="9"/>
            <color indexed="81"/>
            <rFont val="Tahoma"/>
            <family val="2"/>
          </rPr>
          <t>Nathan Butler:</t>
        </r>
        <r>
          <rPr>
            <sz val="9"/>
            <color indexed="81"/>
            <rFont val="Tahoma"/>
            <family val="2"/>
          </rPr>
          <t xml:space="preserve">
Due to the backpay issues resulting from the 2019 miscalculation, we elected to receive a lump sum at the end of the year. This should prevent having to pay anything back, but it also makes it harder to predict the GEMT revenue. This is approximately what we got for 2020 after the anticipated refund to GEMT. Our ambulance service fees are very close to 2020, so this seems a reasonable assumption</t>
        </r>
      </text>
    </comment>
    <comment ref="H7" authorId="0" shapeId="0" xr:uid="{DBF10854-211A-4B2C-BA9D-A45406BEC287}">
      <text>
        <r>
          <rPr>
            <b/>
            <sz val="9"/>
            <color indexed="81"/>
            <rFont val="Tahoma"/>
            <family val="2"/>
          </rPr>
          <t>Nathan Butler:</t>
        </r>
        <r>
          <rPr>
            <sz val="9"/>
            <color indexed="81"/>
            <rFont val="Tahoma"/>
            <family val="2"/>
          </rPr>
          <t xml:space="preserve">
GEMT is complicated. 
First, GEMT money is billed based on a fiscal year. FY 2020 went from 7/1/19 to 6/30/2020; FY 2021 went from 7/1/20 to 6/30/21. That means that we receive money or owe money in the Spring. 
The fiscal year ends in June, the final cost report for the time period is submitted in November, and payment comes the following spring (one year delay from the end of the fiscal year). 
Second, we can't really predict the number of Medicaid patients. Some years we have had a lot, now we have many fewer. 
Third, we can opt to receive payments through the year based on an "interim assessment" based on past years. It is easy to get in trouble over this though, as we have, when past administration calculated it wrong. 
We opted to stop collecting payments in November 2020 (which fell partway through FY 2021). I am told we have likely already collected 2/3 of the expected revenue for that fiscal year, since from the start of the fiscal year 2021 in July 2020 through November 2020 we collected at too high a rate. The revenue from this period wiill arrive in spring of 2022, after filing our November 2021 report for the FY 2021 (which just ended on June 30, 2021). 
The money that would be reported in the 2021 budget would be from FY 2020, and we owed $82,000 rather than receiving income. Therefore, FOR THIS 2021 BUDGET WE HAVE $0 IN REVENUE FROM GEMT for FY 2021, which again, ended June 30, 2021. 
However, we are now on track going forward, as FY 2022 is just starting and covers the first six months of the year. We are now collecting an interim rate of $1,000, and should expect money for the last six months of the calendar year, which will be paid to us when the patient is billed (a several month lag). In calendar year 2023 we will receive the remaining revenue for FY 2022, as we will likely ultumately receive more than $1,000 per patient. 
We have had 49 Medicaid patients just from January to May 2021, low volume months.  
Therefore, I estimate that we will generate $1000 per Medicaid patient, with payments starting to come in during the fall and landing on the 2021 calendar year budget. We should capture at least 4 months of this revenue, but for the summer - so we should estimate about $60,000 on our calendar year budget in interim payments. 
--- Lastly --
Planning for calendar year 2022, we will continue to receive the interim payments of $1,000 per patient, but we should receive more lump sum money in spring 2022 (for FYI 2021: ends June 2021, submitted in Nov 2021, then paid in Spring 2022). We should receive the remaining approx 1/3 of what we are owed. 
This works out, roughy, to $110,000 between interim payments and the lump sum for FY 2021 - but again, with so many moving parts, it's very hard to estimate.)</t>
        </r>
      </text>
    </comment>
    <comment ref="I7" authorId="0" shapeId="0" xr:uid="{07F05221-D057-470F-8BF3-2569F1A861BA}">
      <text>
        <r>
          <rPr>
            <b/>
            <sz val="9"/>
            <color indexed="81"/>
            <rFont val="Tahoma"/>
            <family val="2"/>
          </rPr>
          <t>Nathan Butler:</t>
        </r>
        <r>
          <rPr>
            <sz val="9"/>
            <color indexed="81"/>
            <rFont val="Tahoma"/>
            <family val="2"/>
          </rPr>
          <t xml:space="preserve">
First, GEMT money is billed based on a fiscal year. FY 2020 went from 7/1/19 to 6/30/2020; FY 2021 went from 7/1/20 to 6/30/21. That means that we receive money or owe money in the Spring. 
The fiscal year ends in June, the final cost report for the time period is submitted in November, and payment comes the following spring (one year delay from the end of the fiscal year). 
Second, we can't really predict the number of Medicaid patients. Some years we have had a lot, now we have many fewer. 
Third, we can opt to receive payments through the year based on an "interim assessment" based on past years. It is easy to get in trouble over this though, as we have, when past administration calculated it wrong. 
We opted to stop collecting payments in November 2020 (which fell partway through FY 2021). I am told we have likely already collected 2/3 of the expected revenue for that fiscal year, since from the start of the fiscal year 2021 in July 2020 through November 2020 we collected at too high a rate. The revenue from this period wiill arrive in spring of 2022, after filing our November 2021 report for the FY 2021 (which just ended on June 30, 2021). 
The money that would be reported in the 2021 budget would be from FY 2020, and we owed $82,000 rather than receiving income. Therefore, FOR THIS 2021 BUDGET WE HAVE $0 IN REVENUE FROM GEMT for FY 2021, which again, ended June 30, 2021. 
However, we are now on track going forward, as FY 2022 is just starting and covers the first six months of the year. We are now collecting an interim rate of $1,000, and should expect money for the last six months of the calendar year, which will be paid to us when the patient is billed (a several month lag). In calendar year 2023 we will receive the remaining revenue for FY 2022, as we will likely ultumately receive more than $1,000 per patient. 
We have had 49 Medicaid patients just from January to May 2021, low volume months.  
Therefore, I estimate that we will generate $1000 per Medicaid patient, with payments starting to come in during the fall and landing on the 2021 calendar year budget. We should capture at least 4 months of this revenue, but for the summer - so we should estimate about $60,000 on our calendar year budget in interim payments. 
--- Lastly --
</t>
        </r>
        <r>
          <rPr>
            <b/>
            <sz val="9"/>
            <color indexed="81"/>
            <rFont val="Tahoma"/>
            <family val="2"/>
          </rPr>
          <t>Planning for</t>
        </r>
        <r>
          <rPr>
            <sz val="9"/>
            <color indexed="81"/>
            <rFont val="Tahoma"/>
            <family val="2"/>
          </rPr>
          <t xml:space="preserve"> </t>
        </r>
        <r>
          <rPr>
            <b/>
            <sz val="9"/>
            <color indexed="81"/>
            <rFont val="Tahoma"/>
            <family val="2"/>
          </rPr>
          <t>calendar year 2022</t>
        </r>
        <r>
          <rPr>
            <sz val="9"/>
            <color indexed="81"/>
            <rFont val="Tahoma"/>
            <family val="2"/>
          </rPr>
          <t>, we will continue to receive the interim payments of $1,000 per patient, but we should receive more lump sum money in spring 2022 (for FYI 2021: ends June 2021, submitted in Nov 2021, then paid in Spring 2022). We should receive the remaining approx 1/3 of what we are owed. 
This works out, roughy, to $110,000 between interim payments and the lump sum for FY 2021 - but again, with so many moving parts, it's very hard to estimate.)</t>
        </r>
      </text>
    </comment>
    <comment ref="J7" authorId="0" shapeId="0" xr:uid="{26EC49DB-DC98-4763-9227-6DAD7450707E}">
      <text>
        <r>
          <rPr>
            <b/>
            <sz val="9"/>
            <color indexed="81"/>
            <rFont val="Tahoma"/>
            <family val="2"/>
          </rPr>
          <t>Nathan Butler:</t>
        </r>
        <r>
          <rPr>
            <sz val="9"/>
            <color indexed="81"/>
            <rFont val="Tahoma"/>
            <family val="2"/>
          </rPr>
          <t xml:space="preserve">
I don't trust this program, it fluctates too much. Estimating down. We do not project increases to this funding, though it is possible </t>
        </r>
      </text>
    </comment>
    <comment ref="I8" authorId="0" shapeId="0" xr:uid="{CB99056A-5E0E-4989-9248-470DFDF715FB}">
      <text>
        <r>
          <rPr>
            <b/>
            <sz val="9"/>
            <color indexed="81"/>
            <rFont val="Tahoma"/>
            <family val="2"/>
          </rPr>
          <t>Nathan Butler:</t>
        </r>
        <r>
          <rPr>
            <sz val="9"/>
            <color indexed="81"/>
            <rFont val="Tahoma"/>
            <family val="2"/>
          </rPr>
          <t xml:space="preserve">
2022 is currently the last year for CP funding. They are working on making a case for long-term renewal. </t>
        </r>
      </text>
    </comment>
    <comment ref="J8" authorId="0" shapeId="0" xr:uid="{38F17D88-B2BD-4F4C-80F5-047CDE796C9A}">
      <text>
        <r>
          <rPr>
            <b/>
            <sz val="9"/>
            <color indexed="81"/>
            <rFont val="Tahoma"/>
            <family val="2"/>
          </rPr>
          <t>Nathan Butler:</t>
        </r>
        <r>
          <rPr>
            <sz val="9"/>
            <color indexed="81"/>
            <rFont val="Tahoma"/>
            <family val="2"/>
          </rPr>
          <t xml:space="preserve">
We don't know if this grant, which funds Community Paramedicine is being renewed. </t>
        </r>
      </text>
    </comment>
    <comment ref="J10" authorId="0" shapeId="0" xr:uid="{8CFE2A8C-3E2B-4913-951F-6DD4F98BE450}">
      <text>
        <r>
          <rPr>
            <b/>
            <sz val="9"/>
            <color indexed="81"/>
            <rFont val="Tahoma"/>
            <family val="2"/>
          </rPr>
          <t>Nathan Butler:</t>
        </r>
        <r>
          <rPr>
            <sz val="9"/>
            <color indexed="81"/>
            <rFont val="Tahoma"/>
            <family val="2"/>
          </rPr>
          <t xml:space="preserve">
Assuming these next three line items will scale with property taxes.</t>
        </r>
      </text>
    </comment>
    <comment ref="H13" authorId="0" shapeId="0" xr:uid="{581A2A6F-BACC-4058-8072-84B71AE9D183}">
      <text>
        <r>
          <rPr>
            <b/>
            <sz val="9"/>
            <color indexed="81"/>
            <rFont val="Tahoma"/>
            <family val="2"/>
          </rPr>
          <t>Nathan Butler:</t>
        </r>
        <r>
          <rPr>
            <sz val="9"/>
            <color indexed="81"/>
            <rFont val="Tahoma"/>
            <family val="2"/>
          </rPr>
          <t xml:space="preserve">
Includes about $5,000 for mass vax with the county, as well as outreach programs generally (which are generally net 0 cost, with a corresponding expenditure) </t>
        </r>
      </text>
    </comment>
    <comment ref="I13" authorId="0" shapeId="0" xr:uid="{A17024DC-C0F9-479F-8365-CD8250D62DE6}">
      <text>
        <r>
          <rPr>
            <b/>
            <sz val="9"/>
            <color indexed="81"/>
            <rFont val="Tahoma"/>
            <family val="2"/>
          </rPr>
          <t>Nathan Butler:</t>
        </r>
        <r>
          <rPr>
            <sz val="9"/>
            <color indexed="81"/>
            <rFont val="Tahoma"/>
            <family val="2"/>
          </rPr>
          <t xml:space="preserve">
Outreach programs definitely increasing </t>
        </r>
      </text>
    </comment>
    <comment ref="J13" authorId="0" shapeId="0" xr:uid="{A6787832-3E95-4F18-A54E-4AC50D9391BE}">
      <text>
        <r>
          <rPr>
            <b/>
            <sz val="9"/>
            <color indexed="81"/>
            <rFont val="Tahoma"/>
            <family val="2"/>
          </rPr>
          <t>Nathan Butler:</t>
        </r>
        <r>
          <rPr>
            <sz val="9"/>
            <color indexed="81"/>
            <rFont val="Tahoma"/>
            <family val="2"/>
          </rPr>
          <t xml:space="preserve">
We don't plan to increase charges, and this amount changes each year enough that it's not really reasonable to set a percentage revenue increase for each year</t>
        </r>
      </text>
    </comment>
    <comment ref="H14" authorId="0" shapeId="0" xr:uid="{9D8D60C5-DCF0-4928-9157-2A8701C76584}">
      <text>
        <r>
          <rPr>
            <b/>
            <sz val="9"/>
            <color indexed="81"/>
            <rFont val="Tahoma"/>
            <family val="2"/>
          </rPr>
          <t>Nathan Butler:</t>
        </r>
        <r>
          <rPr>
            <sz val="9"/>
            <color indexed="81"/>
            <rFont val="Tahoma"/>
            <family val="2"/>
          </rPr>
          <t xml:space="preserve">
There is a delay in billing, current receipts are from winter. This year reflects last year pretty closely. </t>
        </r>
      </text>
    </comment>
    <comment ref="I14" authorId="0" shapeId="0" xr:uid="{CB13403E-B1D6-4915-92CA-4A55E6014315}">
      <text>
        <r>
          <rPr>
            <b/>
            <sz val="9"/>
            <color indexed="81"/>
            <rFont val="Tahoma"/>
            <family val="2"/>
          </rPr>
          <t>Nathan Butler:</t>
        </r>
        <r>
          <rPr>
            <sz val="9"/>
            <color indexed="81"/>
            <rFont val="Tahoma"/>
            <family val="2"/>
          </rPr>
          <t xml:space="preserve">
Modest increase expected based on historic data, but it's very hard to predict due to how the pandemic alters things</t>
        </r>
      </text>
    </comment>
    <comment ref="J14" authorId="0" shapeId="0" xr:uid="{6B81086D-0122-40A5-B1E7-B5C95BF67B1B}">
      <text>
        <r>
          <rPr>
            <b/>
            <sz val="9"/>
            <color indexed="81"/>
            <rFont val="Tahoma"/>
            <family val="2"/>
          </rPr>
          <t>Nathan Butler:</t>
        </r>
        <r>
          <rPr>
            <sz val="9"/>
            <color indexed="81"/>
            <rFont val="Tahoma"/>
            <family val="2"/>
          </rPr>
          <t xml:space="preserve">
Ambulance fees have been pretty steady over 2021 - 2022 with only about a 2% increase in calls. We don't plan to change billing rates. 
Service fees increases are based on 3% increase in billing based on anticipated call volume increase, insurance reimbursement, etc. </t>
        </r>
      </text>
    </comment>
    <comment ref="A25" authorId="0" shapeId="0" xr:uid="{55B8EE3D-50C4-48BD-BE7C-0CCDFFF3F8C0}">
      <text>
        <r>
          <rPr>
            <b/>
            <sz val="9"/>
            <color indexed="81"/>
            <rFont val="Tahoma"/>
            <family val="2"/>
          </rPr>
          <t>Nathan Butler:</t>
        </r>
        <r>
          <rPr>
            <sz val="9"/>
            <color indexed="81"/>
            <rFont val="Tahoma"/>
            <family val="2"/>
          </rPr>
          <t xml:space="preserve">
BARS Code changed per auditor's office</t>
        </r>
      </text>
    </comment>
    <comment ref="I25" authorId="0" shapeId="0" xr:uid="{D3631715-7717-45C8-8993-53F4CAB370BE}">
      <text>
        <r>
          <rPr>
            <b/>
            <sz val="9"/>
            <color indexed="81"/>
            <rFont val="Tahoma"/>
            <charset val="1"/>
          </rPr>
          <t>Nathan Butler:</t>
        </r>
        <r>
          <rPr>
            <sz val="9"/>
            <color indexed="81"/>
            <rFont val="Tahoma"/>
            <charset val="1"/>
          </rPr>
          <t xml:space="preserve">
Aug - Oct three month average was $13,300. We will be moving more of Butler's wages onto the PHD levy (to 50% rather than 25%),</t>
        </r>
        <r>
          <rPr>
            <u/>
            <sz val="9"/>
            <color indexed="81"/>
            <rFont val="Tahoma"/>
            <family val="2"/>
          </rPr>
          <t xml:space="preserve"> increasing the monthly amount to $16,600</t>
        </r>
        <r>
          <rPr>
            <sz val="9"/>
            <color indexed="81"/>
            <rFont val="Tahoma"/>
            <charset val="1"/>
          </rPr>
          <t xml:space="preserve">. We may roll this payroll over with the Village, and if so, we will revise the budget.  </t>
        </r>
      </text>
    </comment>
    <comment ref="J25" authorId="0" shapeId="0" xr:uid="{74D93B42-DF18-44FD-83DF-4074EBCA6224}">
      <text>
        <r>
          <rPr>
            <b/>
            <sz val="9"/>
            <color indexed="81"/>
            <rFont val="Tahoma"/>
            <family val="2"/>
          </rPr>
          <t>Nathan Butler:</t>
        </r>
        <r>
          <rPr>
            <sz val="9"/>
            <color indexed="81"/>
            <rFont val="Tahoma"/>
            <family val="2"/>
          </rPr>
          <t xml:space="preserve">
Est 6% increases (based on 5-8% on assistant, 2% from Superintendent)</t>
        </r>
      </text>
    </comment>
    <comment ref="H28" authorId="0" shapeId="0" xr:uid="{91E05207-2775-4E1A-9BB1-0E8FDBEEBFC1}">
      <text>
        <r>
          <rPr>
            <b/>
            <sz val="9"/>
            <color indexed="81"/>
            <rFont val="Tahoma"/>
            <family val="2"/>
          </rPr>
          <t>Nathan Butler:</t>
        </r>
        <r>
          <rPr>
            <sz val="9"/>
            <color indexed="81"/>
            <rFont val="Tahoma"/>
            <family val="2"/>
          </rPr>
          <t xml:space="preserve">
Sale of old medic rig and an ambulance in April </t>
        </r>
      </text>
    </comment>
    <comment ref="J28" authorId="0" shapeId="0" xr:uid="{DA47B142-304E-4C6F-ABB7-3034EB30F7C9}">
      <text>
        <r>
          <rPr>
            <b/>
            <sz val="9"/>
            <color indexed="81"/>
            <rFont val="Tahoma"/>
            <family val="2"/>
          </rPr>
          <t>Nathan Butler:</t>
        </r>
        <r>
          <rPr>
            <sz val="9"/>
            <color indexed="81"/>
            <rFont val="Tahoma"/>
            <family val="2"/>
          </rPr>
          <t xml:space="preserve">
sale of old sprint rig</t>
        </r>
      </text>
    </comment>
    <comment ref="K28" authorId="0" shapeId="0" xr:uid="{996E24E8-4570-495C-9BCC-9D4115392112}">
      <text>
        <r>
          <rPr>
            <b/>
            <sz val="9"/>
            <color indexed="81"/>
            <rFont val="Tahoma"/>
            <family val="2"/>
          </rPr>
          <t>Nathan Butler:</t>
        </r>
        <r>
          <rPr>
            <sz val="9"/>
            <color indexed="81"/>
            <rFont val="Tahoma"/>
            <family val="2"/>
          </rPr>
          <t xml:space="preserve">
Sale of old ambulance </t>
        </r>
      </text>
    </comment>
    <comment ref="L28" authorId="0" shapeId="0" xr:uid="{B8CDBCF2-71A5-4624-B99F-330FB47423E0}">
      <text>
        <r>
          <rPr>
            <b/>
            <sz val="9"/>
            <color indexed="81"/>
            <rFont val="Tahoma"/>
            <family val="2"/>
          </rPr>
          <t>Nathan Butler:</t>
        </r>
        <r>
          <rPr>
            <sz val="9"/>
            <color indexed="81"/>
            <rFont val="Tahoma"/>
            <family val="2"/>
          </rPr>
          <t xml:space="preserve">
Sale of Sprint rig</t>
        </r>
      </text>
    </comment>
    <comment ref="H29" authorId="0" shapeId="0" xr:uid="{12A22374-062E-4897-AFE8-DE59301BB951}">
      <text>
        <r>
          <rPr>
            <b/>
            <sz val="9"/>
            <color indexed="81"/>
            <rFont val="Tahoma"/>
            <family val="2"/>
          </rPr>
          <t>Nathan Butler:</t>
        </r>
        <r>
          <rPr>
            <sz val="9"/>
            <color indexed="81"/>
            <rFont val="Tahoma"/>
            <family val="2"/>
          </rPr>
          <t xml:space="preserve">
SJCPHD#1 did not make the $5,000 donation to Community Paramedicine in 2020 or 2021, both are owed </t>
        </r>
      </text>
    </comment>
    <comment ref="I29" authorId="0" shapeId="0" xr:uid="{0BD012EE-0DD1-4E6C-8713-0B10B4E3B7CF}">
      <text>
        <r>
          <rPr>
            <b/>
            <sz val="9"/>
            <color indexed="81"/>
            <rFont val="Tahoma"/>
            <family val="2"/>
          </rPr>
          <t>Nathan Butler:</t>
        </r>
        <r>
          <rPr>
            <sz val="9"/>
            <color indexed="81"/>
            <rFont val="Tahoma"/>
            <family val="2"/>
          </rPr>
          <t xml:space="preserve">
Grant from hospital district to SJIEMS for Community Paramedicine program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Nathan Butler</author>
  </authors>
  <commentList>
    <comment ref="C4" authorId="0" shapeId="0" xr:uid="{94302527-9D46-4088-BA7D-00731564986E}">
      <text>
        <r>
          <rPr>
            <b/>
            <sz val="9"/>
            <color indexed="81"/>
            <rFont val="Tahoma"/>
            <family val="2"/>
          </rPr>
          <t>Nathan Butler:</t>
        </r>
        <r>
          <rPr>
            <sz val="9"/>
            <color indexed="81"/>
            <rFont val="Tahoma"/>
            <family val="2"/>
          </rPr>
          <t xml:space="preserve">
from 2021 beginning cash letter </t>
        </r>
      </text>
    </comment>
    <comment ref="E4" authorId="0" shapeId="0" xr:uid="{558D44B0-065C-49D9-BB74-CD1BAB817D7D}">
      <text>
        <r>
          <rPr>
            <b/>
            <sz val="9"/>
            <color indexed="81"/>
            <rFont val="Tahoma"/>
            <family val="2"/>
          </rPr>
          <t>Nathan Butler:</t>
        </r>
        <r>
          <rPr>
            <sz val="9"/>
            <color indexed="81"/>
            <rFont val="Tahoma"/>
            <family val="2"/>
          </rPr>
          <t xml:space="preserve">
This is total revenue minus total expenditures (excluding this number). </t>
        </r>
      </text>
    </comment>
    <comment ref="F4" authorId="0" shapeId="0" xr:uid="{B188A599-9A9F-4726-9B0E-E848D93ED572}">
      <text>
        <r>
          <rPr>
            <b/>
            <sz val="9"/>
            <color indexed="81"/>
            <rFont val="Tahoma"/>
            <family val="2"/>
          </rPr>
          <t>Nathan Butler:</t>
        </r>
        <r>
          <rPr>
            <sz val="9"/>
            <color indexed="81"/>
            <rFont val="Tahoma"/>
            <family val="2"/>
          </rPr>
          <t xml:space="preserve">
This is total revenue minus total expenditures (excluding this number). </t>
        </r>
      </text>
    </comment>
    <comment ref="F11" authorId="0" shapeId="0" xr:uid="{E9D759D1-60A5-4FDD-81E3-FFE50C134821}">
      <text>
        <r>
          <rPr>
            <b/>
            <sz val="9"/>
            <color indexed="81"/>
            <rFont val="Tahoma"/>
            <family val="2"/>
          </rPr>
          <t>Nathan Butler:</t>
        </r>
        <r>
          <rPr>
            <sz val="9"/>
            <color indexed="81"/>
            <rFont val="Tahoma"/>
            <family val="2"/>
          </rPr>
          <t xml:space="preserve">
Half of this reimbursed by hospital district </t>
        </r>
      </text>
    </comment>
    <comment ref="G11" authorId="0" shapeId="0" xr:uid="{B81FBA1F-66F8-4DFE-9B82-A6092669C078}">
      <text>
        <r>
          <rPr>
            <b/>
            <sz val="9"/>
            <color indexed="81"/>
            <rFont val="Tahoma"/>
            <family val="2"/>
          </rPr>
          <t>Nathan Butler:</t>
        </r>
        <r>
          <rPr>
            <sz val="9"/>
            <color indexed="81"/>
            <rFont val="Tahoma"/>
            <family val="2"/>
          </rPr>
          <t xml:space="preserve">
Budgeted 2% COLA, no raise. Half is split with hospital district (represented as an "income" under IIMC Reimbursements) </t>
        </r>
      </text>
    </comment>
    <comment ref="F12" authorId="0" shapeId="0" xr:uid="{EBF8536A-8D86-45A9-8837-FF3F098D3EA0}">
      <text>
        <r>
          <rPr>
            <b/>
            <sz val="9"/>
            <color indexed="81"/>
            <rFont val="Tahoma"/>
            <family val="2"/>
          </rPr>
          <t>Nathan Butler:</t>
        </r>
        <r>
          <rPr>
            <sz val="9"/>
            <color indexed="81"/>
            <rFont val="Tahoma"/>
            <family val="2"/>
          </rPr>
          <t xml:space="preserve">
Employee receives a COLA in January, and presumably a raise in the summer</t>
        </r>
      </text>
    </comment>
    <comment ref="G12" authorId="0" shapeId="0" xr:uid="{338C6D3C-FA31-4D35-81A0-BD1428883B02}">
      <text>
        <r>
          <rPr>
            <b/>
            <sz val="9"/>
            <color indexed="81"/>
            <rFont val="Tahoma"/>
            <family val="2"/>
          </rPr>
          <t>Nathan Butler:</t>
        </r>
        <r>
          <rPr>
            <sz val="9"/>
            <color indexed="81"/>
            <rFont val="Tahoma"/>
            <family val="2"/>
          </rPr>
          <t xml:space="preserve">
5% raise for 2nd year employee plus 3% COLA = 8% increase</t>
        </r>
      </text>
    </comment>
    <comment ref="H12" authorId="0" shapeId="0" xr:uid="{EB10C38B-D9B9-4F40-8C9F-E6DB6B7DEE0B}">
      <text>
        <r>
          <rPr>
            <b/>
            <sz val="9"/>
            <color indexed="81"/>
            <rFont val="Tahoma"/>
            <family val="2"/>
          </rPr>
          <t>Nathan Butler:</t>
        </r>
        <r>
          <rPr>
            <sz val="9"/>
            <color indexed="81"/>
            <rFont val="Tahoma"/>
            <family val="2"/>
          </rPr>
          <t xml:space="preserve">
5% raise for 2nd year employee plus 3% COLA = 8% increase</t>
        </r>
      </text>
    </comment>
    <comment ref="I12" authorId="0" shapeId="0" xr:uid="{8666B2C5-2E50-4F9D-AC89-5EAA9A86599B}">
      <text>
        <r>
          <rPr>
            <b/>
            <sz val="9"/>
            <color indexed="81"/>
            <rFont val="Tahoma"/>
            <family val="2"/>
          </rPr>
          <t>Nathan Butler:</t>
        </r>
        <r>
          <rPr>
            <sz val="9"/>
            <color indexed="81"/>
            <rFont val="Tahoma"/>
            <family val="2"/>
          </rPr>
          <t xml:space="preserve">
3% raise plus 3% COLA for year 4. </t>
        </r>
      </text>
    </comment>
    <comment ref="J12" authorId="0" shapeId="0" xr:uid="{AE5B7BA6-1D84-46E0-96B4-C1D44D8B0B6F}">
      <text>
        <r>
          <rPr>
            <b/>
            <sz val="9"/>
            <color indexed="81"/>
            <rFont val="Tahoma"/>
            <family val="2"/>
          </rPr>
          <t>Nathan Butler:</t>
        </r>
        <r>
          <rPr>
            <sz val="9"/>
            <color indexed="81"/>
            <rFont val="Tahoma"/>
            <family val="2"/>
          </rPr>
          <t xml:space="preserve">
3% raise plus 3% COLA for year 5. </t>
        </r>
      </text>
    </comment>
    <comment ref="K12" authorId="0" shapeId="0" xr:uid="{4B9236F8-4138-49D3-B47E-B9D074366EB9}">
      <text>
        <r>
          <rPr>
            <b/>
            <sz val="9"/>
            <color indexed="81"/>
            <rFont val="Tahoma"/>
            <family val="2"/>
          </rPr>
          <t>Nathan Butler:</t>
        </r>
        <r>
          <rPr>
            <sz val="9"/>
            <color indexed="81"/>
            <rFont val="Tahoma"/>
            <family val="2"/>
          </rPr>
          <t xml:space="preserve">
3% raise plus 3% COLA for year 6. </t>
        </r>
      </text>
    </comment>
    <comment ref="L12" authorId="0" shapeId="0" xr:uid="{EF4671B0-A87E-414E-BCB7-67F3C0BE6D72}">
      <text>
        <r>
          <rPr>
            <b/>
            <sz val="9"/>
            <color indexed="81"/>
            <rFont val="Tahoma"/>
            <family val="2"/>
          </rPr>
          <t>Nathan Butler:</t>
        </r>
        <r>
          <rPr>
            <sz val="9"/>
            <color indexed="81"/>
            <rFont val="Tahoma"/>
            <family val="2"/>
          </rPr>
          <t xml:space="preserve">
3% raise plus 3% COLA for year 7. Two more steps to maximum.  </t>
        </r>
      </text>
    </comment>
    <comment ref="E14" authorId="0" shapeId="0" xr:uid="{7B36B794-9B00-4BD4-952F-554AC4C2332B}">
      <text>
        <r>
          <rPr>
            <b/>
            <sz val="9"/>
            <color indexed="81"/>
            <rFont val="Tahoma"/>
            <family val="2"/>
          </rPr>
          <t>Nathan Butler:</t>
        </r>
        <r>
          <rPr>
            <sz val="9"/>
            <color indexed="81"/>
            <rFont val="Tahoma"/>
            <family val="2"/>
          </rPr>
          <t xml:space="preserve">
This is Hutchins' wages from 2021 before her retirement. </t>
        </r>
      </text>
    </comment>
    <comment ref="F15" authorId="0" shapeId="0" xr:uid="{4BDD7967-9769-4942-81B0-D26BE5DF348E}">
      <text>
        <r>
          <rPr>
            <b/>
            <sz val="9"/>
            <color indexed="81"/>
            <rFont val="Tahoma"/>
            <family val="2"/>
          </rPr>
          <t>Nathan Butler:</t>
        </r>
        <r>
          <rPr>
            <sz val="9"/>
            <color indexed="81"/>
            <rFont val="Tahoma"/>
            <family val="2"/>
          </rPr>
          <t xml:space="preserve">
Anticipated wages for 2022. Fully reimbursed by the hospital District. Employee receives a COLA in January, and presumably a raise in the summer. </t>
        </r>
      </text>
    </comment>
    <comment ref="G15" authorId="0" shapeId="0" xr:uid="{8446B3EE-CE51-4D87-942E-2A969A7EAD59}">
      <text>
        <r>
          <rPr>
            <b/>
            <sz val="9"/>
            <color indexed="81"/>
            <rFont val="Tahoma"/>
            <family val="2"/>
          </rPr>
          <t>Nathan Butler:</t>
        </r>
        <r>
          <rPr>
            <sz val="9"/>
            <color indexed="81"/>
            <rFont val="Tahoma"/>
            <family val="2"/>
          </rPr>
          <t xml:space="preserve">
5% raise for 2nd year employee plus 3% COLA = 8% increase. Fully reimbursed by hospital district. </t>
        </r>
      </text>
    </comment>
    <comment ref="H15" authorId="0" shapeId="0" xr:uid="{2AB3955A-5AD1-45B8-A004-1C7C3519E7F9}">
      <text>
        <r>
          <rPr>
            <b/>
            <sz val="9"/>
            <color indexed="81"/>
            <rFont val="Tahoma"/>
            <family val="2"/>
          </rPr>
          <t>Nathan Butler:</t>
        </r>
        <r>
          <rPr>
            <sz val="9"/>
            <color indexed="81"/>
            <rFont val="Tahoma"/>
            <family val="2"/>
          </rPr>
          <t xml:space="preserve">
5% raise for 2nd year employee plus 3% COLA = 8% increase</t>
        </r>
      </text>
    </comment>
    <comment ref="I15" authorId="0" shapeId="0" xr:uid="{DCE5F688-F50A-48F6-B1BF-13D0A013F78F}">
      <text>
        <r>
          <rPr>
            <b/>
            <sz val="9"/>
            <color indexed="81"/>
            <rFont val="Tahoma"/>
            <family val="2"/>
          </rPr>
          <t>Nathan Butler:</t>
        </r>
        <r>
          <rPr>
            <sz val="9"/>
            <color indexed="81"/>
            <rFont val="Tahoma"/>
            <family val="2"/>
          </rPr>
          <t xml:space="preserve">
3% raise plus 3% COLA for year 4. </t>
        </r>
      </text>
    </comment>
    <comment ref="J15" authorId="0" shapeId="0" xr:uid="{86AC03FF-3298-4B10-BD13-A9C247158017}">
      <text>
        <r>
          <rPr>
            <b/>
            <sz val="9"/>
            <color indexed="81"/>
            <rFont val="Tahoma"/>
            <family val="2"/>
          </rPr>
          <t>Nathan Butler:</t>
        </r>
        <r>
          <rPr>
            <sz val="9"/>
            <color indexed="81"/>
            <rFont val="Tahoma"/>
            <family val="2"/>
          </rPr>
          <t xml:space="preserve">
3% raise plus 3% COLA for year 5. </t>
        </r>
      </text>
    </comment>
    <comment ref="K15" authorId="0" shapeId="0" xr:uid="{91805E1B-721B-4FD1-AF1E-13C61A078EA3}">
      <text>
        <r>
          <rPr>
            <b/>
            <sz val="9"/>
            <color indexed="81"/>
            <rFont val="Tahoma"/>
            <family val="2"/>
          </rPr>
          <t>Nathan Butler:</t>
        </r>
        <r>
          <rPr>
            <sz val="9"/>
            <color indexed="81"/>
            <rFont val="Tahoma"/>
            <family val="2"/>
          </rPr>
          <t xml:space="preserve">
3% raise plus 3% COLA for year 6. </t>
        </r>
      </text>
    </comment>
    <comment ref="L15" authorId="0" shapeId="0" xr:uid="{37FCB004-8946-45E8-924C-6F68D96CA91D}">
      <text>
        <r>
          <rPr>
            <b/>
            <sz val="9"/>
            <color indexed="81"/>
            <rFont val="Tahoma"/>
            <family val="2"/>
          </rPr>
          <t>Nathan Butler:</t>
        </r>
        <r>
          <rPr>
            <sz val="9"/>
            <color indexed="81"/>
            <rFont val="Tahoma"/>
            <family val="2"/>
          </rPr>
          <t xml:space="preserve">
3% raise plus 3% COLA for year 7. Two more steps to maximum.  </t>
        </r>
      </text>
    </comment>
    <comment ref="F17" authorId="0" shapeId="0" xr:uid="{5D92E273-4786-4AF7-9C5C-F60D68016538}">
      <text>
        <r>
          <rPr>
            <b/>
            <sz val="9"/>
            <color indexed="81"/>
            <rFont val="Tahoma"/>
            <family val="2"/>
          </rPr>
          <t>Nathan Butler:</t>
        </r>
        <r>
          <rPr>
            <sz val="9"/>
            <color indexed="81"/>
            <rFont val="Tahoma"/>
            <family val="2"/>
          </rPr>
          <t xml:space="preserve">
Much of this is a passthrough. </t>
        </r>
      </text>
    </comment>
    <comment ref="F19" authorId="0" shapeId="0" xr:uid="{01D11E17-2E7C-4F0A-BA50-9C87E231313B}">
      <text>
        <r>
          <rPr>
            <b/>
            <sz val="9"/>
            <color indexed="81"/>
            <rFont val="Tahoma"/>
            <family val="2"/>
          </rPr>
          <t>Nathan Butler:</t>
        </r>
        <r>
          <rPr>
            <sz val="9"/>
            <color indexed="81"/>
            <rFont val="Tahoma"/>
            <family val="2"/>
          </rPr>
          <t xml:space="preserve">
8% of wages</t>
        </r>
      </text>
    </comment>
    <comment ref="F20" authorId="0" shapeId="0" xr:uid="{EE20EC9F-A5B2-4E74-AF45-AFB5CCAE27DD}">
      <text>
        <r>
          <rPr>
            <b/>
            <sz val="9"/>
            <color indexed="81"/>
            <rFont val="Tahoma"/>
            <family val="2"/>
          </rPr>
          <t>Nathan Butler:</t>
        </r>
        <r>
          <rPr>
            <sz val="9"/>
            <color indexed="81"/>
            <rFont val="Tahoma"/>
            <family val="2"/>
          </rPr>
          <t xml:space="preserve">
about 0.5% of wages</t>
        </r>
      </text>
    </comment>
    <comment ref="F21" authorId="0" shapeId="0" xr:uid="{5EBD6869-D11A-47A2-AB07-99BDEF8EFB9F}">
      <text>
        <r>
          <rPr>
            <b/>
            <sz val="9"/>
            <color indexed="81"/>
            <rFont val="Tahoma"/>
            <family val="2"/>
          </rPr>
          <t>Nathan Butler:</t>
        </r>
        <r>
          <rPr>
            <sz val="9"/>
            <color indexed="81"/>
            <rFont val="Tahoma"/>
            <family val="2"/>
          </rPr>
          <t xml:space="preserve">
about 8% of wages</t>
        </r>
      </text>
    </comment>
    <comment ref="D22" authorId="0" shapeId="0" xr:uid="{A0483346-E386-4E57-B62D-94F704EBC72D}">
      <text>
        <r>
          <rPr>
            <b/>
            <sz val="9"/>
            <color indexed="81"/>
            <rFont val="Tahoma"/>
            <family val="2"/>
          </rPr>
          <t>Nathan Butler:</t>
        </r>
        <r>
          <rPr>
            <sz val="9"/>
            <color indexed="81"/>
            <rFont val="Tahoma"/>
            <family val="2"/>
          </rPr>
          <t xml:space="preserve">
This was a backpay to LEOFF assessed by the state for Jerry Martin. </t>
        </r>
      </text>
    </comment>
    <comment ref="E24" authorId="0" shapeId="0" xr:uid="{71CBDDBB-7DEE-4596-ABF9-70DCA80A3F0C}">
      <text>
        <r>
          <rPr>
            <b/>
            <sz val="9"/>
            <color indexed="81"/>
            <rFont val="Tahoma"/>
            <family val="2"/>
          </rPr>
          <t>Nathan Butler:</t>
        </r>
        <r>
          <rPr>
            <sz val="9"/>
            <color indexed="81"/>
            <rFont val="Tahoma"/>
            <family val="2"/>
          </rPr>
          <t xml:space="preserve">
lower insurance costs in 2021 than expected due to fewer enrollees </t>
        </r>
      </text>
    </comment>
    <comment ref="F24" authorId="0" shapeId="0" xr:uid="{8FEB4704-B3BF-417C-B253-0865F7E5C111}">
      <text>
        <r>
          <rPr>
            <b/>
            <sz val="9"/>
            <color indexed="81"/>
            <rFont val="Tahoma"/>
            <family val="2"/>
          </rPr>
          <t>Nathan Butler:</t>
        </r>
        <r>
          <rPr>
            <sz val="9"/>
            <color indexed="81"/>
            <rFont val="Tahoma"/>
            <family val="2"/>
          </rPr>
          <t xml:space="preserve">
Est. 3% increase in costs based on historical rates</t>
        </r>
      </text>
    </comment>
    <comment ref="F25" authorId="0" shapeId="0" xr:uid="{AA4B863E-00A9-4796-8CC8-B2803A52BE53}">
      <text>
        <r>
          <rPr>
            <b/>
            <sz val="9"/>
            <color indexed="81"/>
            <rFont val="Tahoma"/>
            <family val="2"/>
          </rPr>
          <t>Nathan Butler:</t>
        </r>
        <r>
          <rPr>
            <sz val="9"/>
            <color indexed="81"/>
            <rFont val="Tahoma"/>
            <family val="2"/>
          </rPr>
          <t xml:space="preserve">
1200 x 5 employees. At some point we may want to look at increasing this. </t>
        </r>
      </text>
    </comment>
    <comment ref="F26" authorId="0" shapeId="0" xr:uid="{2DC500B6-5252-406D-96CB-90D411EA34BE}">
      <text>
        <r>
          <rPr>
            <b/>
            <sz val="9"/>
            <color indexed="81"/>
            <rFont val="Tahoma"/>
            <family val="2"/>
          </rPr>
          <t>Nathan Butler:</t>
        </r>
        <r>
          <rPr>
            <sz val="9"/>
            <color indexed="81"/>
            <rFont val="Tahoma"/>
            <family val="2"/>
          </rPr>
          <t xml:space="preserve">
Very hard to predict. It did go up in the summer, though. However, if we keep employees it shouldn’t go up as much (i.e. if costs above increase due to advancement and retention of employees)
We're predicting a 5% increase per year</t>
        </r>
      </text>
    </comment>
    <comment ref="G28" authorId="0" shapeId="0" xr:uid="{232242A0-3A62-4F1B-B360-4CB153A9474B}">
      <text>
        <r>
          <rPr>
            <b/>
            <sz val="9"/>
            <color indexed="81"/>
            <rFont val="Tahoma"/>
            <family val="2"/>
          </rPr>
          <t>Nathan Butler:</t>
        </r>
        <r>
          <rPr>
            <sz val="9"/>
            <color indexed="81"/>
            <rFont val="Tahoma"/>
            <family val="2"/>
          </rPr>
          <t xml:space="preserve">
Planning 3% increases </t>
        </r>
      </text>
    </comment>
    <comment ref="G29" authorId="0" shapeId="0" xr:uid="{B86E0DF4-3F75-4A1A-81E5-3B56EE279718}">
      <text>
        <r>
          <rPr>
            <b/>
            <sz val="9"/>
            <color indexed="81"/>
            <rFont val="Tahoma"/>
            <family val="2"/>
          </rPr>
          <t>Nathan Butler:</t>
        </r>
        <r>
          <rPr>
            <sz val="9"/>
            <color indexed="81"/>
            <rFont val="Tahoma"/>
            <family val="2"/>
          </rPr>
          <t xml:space="preserve">
This is a .15% tax </t>
        </r>
      </text>
    </comment>
    <comment ref="H29" authorId="0" shapeId="0" xr:uid="{3393F075-CF75-4054-9002-BA898CE13034}">
      <text>
        <r>
          <rPr>
            <b/>
            <sz val="9"/>
            <color indexed="81"/>
            <rFont val="Tahoma"/>
            <family val="2"/>
          </rPr>
          <t>Nathan Butler:</t>
        </r>
        <r>
          <rPr>
            <sz val="9"/>
            <color indexed="81"/>
            <rFont val="Tahoma"/>
            <family val="2"/>
          </rPr>
          <t xml:space="preserve">
This is a .15% tax </t>
        </r>
      </text>
    </comment>
    <comment ref="I29" authorId="0" shapeId="0" xr:uid="{AC21FCB2-A14F-4BC0-AA44-67CBE14D9170}">
      <text>
        <r>
          <rPr>
            <b/>
            <sz val="9"/>
            <color indexed="81"/>
            <rFont val="Tahoma"/>
            <family val="2"/>
          </rPr>
          <t>Nathan Butler:</t>
        </r>
        <r>
          <rPr>
            <sz val="9"/>
            <color indexed="81"/>
            <rFont val="Tahoma"/>
            <family val="2"/>
          </rPr>
          <t xml:space="preserve">
This is a .15% tax </t>
        </r>
      </text>
    </comment>
    <comment ref="J29" authorId="0" shapeId="0" xr:uid="{6E583AD9-E9D4-4BBA-B752-C31CCA7F3576}">
      <text>
        <r>
          <rPr>
            <b/>
            <sz val="9"/>
            <color indexed="81"/>
            <rFont val="Tahoma"/>
            <family val="2"/>
          </rPr>
          <t>Nathan Butler:</t>
        </r>
        <r>
          <rPr>
            <sz val="9"/>
            <color indexed="81"/>
            <rFont val="Tahoma"/>
            <family val="2"/>
          </rPr>
          <t xml:space="preserve">
This is a .15% tax </t>
        </r>
      </text>
    </comment>
    <comment ref="K29" authorId="0" shapeId="0" xr:uid="{8CF9D566-1A9A-4601-BFEF-15E844DA3BEB}">
      <text>
        <r>
          <rPr>
            <b/>
            <sz val="9"/>
            <color indexed="81"/>
            <rFont val="Tahoma"/>
            <family val="2"/>
          </rPr>
          <t>Nathan Butler:</t>
        </r>
        <r>
          <rPr>
            <sz val="9"/>
            <color indexed="81"/>
            <rFont val="Tahoma"/>
            <family val="2"/>
          </rPr>
          <t xml:space="preserve">
This is a .15% tax </t>
        </r>
      </text>
    </comment>
    <comment ref="L29" authorId="0" shapeId="0" xr:uid="{7A79D928-9CB5-4894-B46F-DB27F637F860}">
      <text>
        <r>
          <rPr>
            <b/>
            <sz val="9"/>
            <color indexed="81"/>
            <rFont val="Tahoma"/>
            <family val="2"/>
          </rPr>
          <t>Nathan Butler:</t>
        </r>
        <r>
          <rPr>
            <sz val="9"/>
            <color indexed="81"/>
            <rFont val="Tahoma"/>
            <family val="2"/>
          </rPr>
          <t xml:space="preserve">
This is a .15% tax </t>
        </r>
      </text>
    </comment>
    <comment ref="F31" authorId="0" shapeId="0" xr:uid="{C99A0E99-744F-4AE9-9EC4-224E9A853454}">
      <text>
        <r>
          <rPr>
            <b/>
            <sz val="9"/>
            <color indexed="81"/>
            <rFont val="Tahoma"/>
            <family val="2"/>
          </rPr>
          <t>Nathan Butler:</t>
        </r>
        <r>
          <rPr>
            <sz val="9"/>
            <color indexed="81"/>
            <rFont val="Tahoma"/>
            <family val="2"/>
          </rPr>
          <t xml:space="preserve">
Estimate. If costs keep going up, we may need to increase this amount. We pay a fixed amount for each employee and it doesn't change unless we elect to change it. </t>
        </r>
      </text>
    </comment>
    <comment ref="F32" authorId="0" shapeId="0" xr:uid="{B7D8C549-25E7-4D8B-8E0C-B5599AB987BD}">
      <text>
        <r>
          <rPr>
            <b/>
            <sz val="9"/>
            <color indexed="81"/>
            <rFont val="Tahoma"/>
            <family val="2"/>
          </rPr>
          <t>Nathan Butler:</t>
        </r>
        <r>
          <rPr>
            <sz val="9"/>
            <color indexed="81"/>
            <rFont val="Tahoma"/>
            <family val="2"/>
          </rPr>
          <t xml:space="preserve">
allowing for possible cost increases and one extra person (even if for half the year it's still the same)</t>
        </r>
      </text>
    </comment>
    <comment ref="G32" authorId="0" shapeId="0" xr:uid="{C46DA260-E647-476A-B25B-006B4B0E1937}">
      <text>
        <r>
          <rPr>
            <b/>
            <sz val="9"/>
            <color indexed="81"/>
            <rFont val="Tahoma"/>
            <family val="2"/>
          </rPr>
          <t>Nathan Butler:</t>
        </r>
        <r>
          <rPr>
            <sz val="9"/>
            <color indexed="81"/>
            <rFont val="Tahoma"/>
            <family val="2"/>
          </rPr>
          <t xml:space="preserve">
Estimated 5% increases annually. It will certainly be unevenly spread out. </t>
        </r>
      </text>
    </comment>
    <comment ref="G39" authorId="0" shapeId="0" xr:uid="{CEC896E3-E5D2-4437-B6C4-FF441CAD02B7}">
      <text>
        <r>
          <rPr>
            <b/>
            <sz val="9"/>
            <color indexed="81"/>
            <rFont val="Tahoma"/>
            <family val="2"/>
          </rPr>
          <t>Nathan Butler:</t>
        </r>
        <r>
          <rPr>
            <sz val="9"/>
            <color indexed="81"/>
            <rFont val="Tahoma"/>
            <family val="2"/>
          </rPr>
          <t xml:space="preserve">
estimating 5% cost increases. It's quite likely for the next couple years, but it's anyone's guess after that</t>
        </r>
      </text>
    </comment>
    <comment ref="F40" authorId="0" shapeId="0" xr:uid="{6CCCB718-07CC-4F22-B02F-0891CD386BC4}">
      <text>
        <r>
          <rPr>
            <b/>
            <sz val="9"/>
            <color indexed="81"/>
            <rFont val="Tahoma"/>
            <charset val="1"/>
          </rPr>
          <t>Nathan Butler:</t>
        </r>
        <r>
          <rPr>
            <sz val="9"/>
            <color indexed="81"/>
            <rFont val="Tahoma"/>
            <charset val="1"/>
          </rPr>
          <t xml:space="preserve">
This mostly covers Aladtec, our scheduling software, which is usually paid annually in Sept</t>
        </r>
      </text>
    </comment>
    <comment ref="G40" authorId="0" shapeId="0" xr:uid="{46C7D259-E2BE-4502-8D56-23E92FA2C55D}">
      <text>
        <r>
          <rPr>
            <b/>
            <sz val="9"/>
            <color indexed="81"/>
            <rFont val="Tahoma"/>
            <family val="2"/>
          </rPr>
          <t>Nathan Butler:</t>
        </r>
        <r>
          <rPr>
            <sz val="9"/>
            <color indexed="81"/>
            <rFont val="Tahoma"/>
            <family val="2"/>
          </rPr>
          <t xml:space="preserve">
Est. 5% increases</t>
        </r>
      </text>
    </comment>
    <comment ref="G43" authorId="0" shapeId="0" xr:uid="{994BD4E6-F414-4D35-98D5-A54F32B6551E}">
      <text>
        <r>
          <rPr>
            <b/>
            <sz val="9"/>
            <color indexed="81"/>
            <rFont val="Tahoma"/>
            <family val="2"/>
          </rPr>
          <t>Nathan Butler:</t>
        </r>
        <r>
          <rPr>
            <sz val="9"/>
            <color indexed="81"/>
            <rFont val="Tahoma"/>
            <family val="2"/>
          </rPr>
          <t xml:space="preserve">
Costs went up on the copy lease. Est. 5% increases. </t>
        </r>
      </text>
    </comment>
    <comment ref="F46" authorId="0" shapeId="0" xr:uid="{26DBEE3B-B84A-48E2-8EFA-B66B8DC69DCE}">
      <text>
        <r>
          <rPr>
            <b/>
            <sz val="9"/>
            <color indexed="81"/>
            <rFont val="Tahoma"/>
            <family val="2"/>
          </rPr>
          <t>Nathan Butler:</t>
        </r>
        <r>
          <rPr>
            <sz val="9"/>
            <color indexed="81"/>
            <rFont val="Tahoma"/>
            <family val="2"/>
          </rPr>
          <t xml:space="preserve">
Each newsletter costs $2000 or so, plus postage. Also includes job ad postings, website updates, etc.</t>
        </r>
      </text>
    </comment>
    <comment ref="F47" authorId="0" shapeId="0" xr:uid="{5500BB71-3137-4C5D-9625-3BCB0767B2EC}">
      <text>
        <r>
          <rPr>
            <b/>
            <sz val="9"/>
            <color indexed="81"/>
            <rFont val="Tahoma"/>
            <family val="2"/>
          </rPr>
          <t>Nathan Butler:</t>
        </r>
        <r>
          <rPr>
            <sz val="9"/>
            <color indexed="81"/>
            <rFont val="Tahoma"/>
            <family val="2"/>
          </rPr>
          <t xml:space="preserve">
Modest increase planned for 2022. </t>
        </r>
      </text>
    </comment>
    <comment ref="E48" authorId="0" shapeId="0" xr:uid="{40E25237-4969-4AD7-B2A0-6654B8A28D00}">
      <text>
        <r>
          <rPr>
            <b/>
            <sz val="9"/>
            <color indexed="81"/>
            <rFont val="Tahoma"/>
            <family val="2"/>
          </rPr>
          <t xml:space="preserve">Nathan Butler:
</t>
        </r>
        <r>
          <rPr>
            <sz val="9"/>
            <color indexed="81"/>
            <rFont val="Tahoma"/>
            <family val="2"/>
          </rPr>
          <t xml:space="preserve">Legal fees have been high, and aren't really expected to go down, especially with all of the union and integration work </t>
        </r>
      </text>
    </comment>
    <comment ref="F48" authorId="0" shapeId="0" xr:uid="{180B85A6-5042-49CC-832F-7A19B78C756E}">
      <text>
        <r>
          <rPr>
            <b/>
            <sz val="9"/>
            <color indexed="81"/>
            <rFont val="Tahoma"/>
            <family val="2"/>
          </rPr>
          <t>Nathan Butler:</t>
        </r>
        <r>
          <rPr>
            <sz val="9"/>
            <color indexed="81"/>
            <rFont val="Tahoma"/>
            <family val="2"/>
          </rPr>
          <t xml:space="preserve">
Legal fees are always hard to predict, but we generally expect less in 2022 than in 2021, despite the need to bargain a new union agreement. </t>
        </r>
      </text>
    </comment>
    <comment ref="F49" authorId="0" shapeId="0" xr:uid="{80853D62-907E-4165-8F13-FA544E11630B}">
      <text>
        <r>
          <rPr>
            <b/>
            <sz val="9"/>
            <color indexed="81"/>
            <rFont val="Tahoma"/>
            <family val="2"/>
          </rPr>
          <t>Nathan Butler:</t>
        </r>
        <r>
          <rPr>
            <sz val="9"/>
            <color indexed="81"/>
            <rFont val="Tahoma"/>
            <family val="2"/>
          </rPr>
          <t xml:space="preserve">
These are split with the hospital district. The cost varies, but most recently cost about $24,000, split between the two levies</t>
        </r>
      </text>
    </comment>
    <comment ref="F50" authorId="0" shapeId="0" xr:uid="{66A54FAF-DAC0-4C54-BC30-25509E0C1F77}">
      <text>
        <r>
          <rPr>
            <b/>
            <sz val="9"/>
            <color indexed="81"/>
            <rFont val="Tahoma"/>
            <family val="2"/>
          </rPr>
          <t>Nathan Butler:</t>
        </r>
        <r>
          <rPr>
            <sz val="9"/>
            <color indexed="81"/>
            <rFont val="Tahoma"/>
            <family val="2"/>
          </rPr>
          <t xml:space="preserve">
The actuals were for the consultant who helped with the GEMT billing. To this we should add the August (not listed) payment to the hospital district for EMS's half of the accounting support services that are shared (such as help filing our annual financial report with the state, or accounting help with an audit)</t>
        </r>
      </text>
    </comment>
    <comment ref="G52" authorId="0" shapeId="0" xr:uid="{5AD35067-A684-4733-92B4-8CDD480CF258}">
      <text>
        <r>
          <rPr>
            <b/>
            <sz val="9"/>
            <color indexed="81"/>
            <rFont val="Tahoma"/>
            <charset val="1"/>
          </rPr>
          <t>Nathan Butler:</t>
        </r>
        <r>
          <rPr>
            <sz val="9"/>
            <color indexed="81"/>
            <rFont val="Tahoma"/>
            <charset val="1"/>
          </rPr>
          <t xml:space="preserve">
2.5% cost increases expected annually for this subcategory </t>
        </r>
      </text>
    </comment>
    <comment ref="F55" authorId="0" shapeId="0" xr:uid="{C9F53668-89CF-4CA7-BF37-E2458C352FD4}">
      <text>
        <r>
          <rPr>
            <b/>
            <sz val="9"/>
            <color indexed="81"/>
            <rFont val="Tahoma"/>
            <family val="2"/>
          </rPr>
          <t>Nathan Butler:</t>
        </r>
        <r>
          <rPr>
            <sz val="9"/>
            <color indexed="81"/>
            <rFont val="Tahoma"/>
            <family val="2"/>
          </rPr>
          <t xml:space="preserve">
Each newsletter is around $800 (we do one per quarter), as well as systems design billing postage </t>
        </r>
      </text>
    </comment>
    <comment ref="G58" authorId="0" shapeId="0" xr:uid="{63C154C4-20E1-406C-B9AF-58FAA80E78FB}">
      <text>
        <r>
          <rPr>
            <b/>
            <sz val="9"/>
            <color indexed="81"/>
            <rFont val="Tahoma"/>
            <charset val="1"/>
          </rPr>
          <t>Nathan Butler:</t>
        </r>
        <r>
          <rPr>
            <sz val="9"/>
            <color indexed="81"/>
            <rFont val="Tahoma"/>
            <charset val="1"/>
          </rPr>
          <t xml:space="preserve">
2.5% increases for this subcategory </t>
        </r>
      </text>
    </comment>
    <comment ref="G63" authorId="0" shapeId="0" xr:uid="{2C9CD32E-BBA8-40D8-A11C-71D5B1F144D9}">
      <text>
        <r>
          <rPr>
            <b/>
            <sz val="9"/>
            <color indexed="81"/>
            <rFont val="Tahoma"/>
            <family val="2"/>
          </rPr>
          <t>Nathan Butler:</t>
        </r>
        <r>
          <rPr>
            <sz val="9"/>
            <color indexed="81"/>
            <rFont val="Tahoma"/>
            <family val="2"/>
          </rPr>
          <t xml:space="preserve">
We anticipate being able to travel more easily in 2023. This includes all administrative staff and outreach staff (ops staff have their own per travel BARS code, but outreach does not) </t>
        </r>
      </text>
    </comment>
    <comment ref="H63" authorId="0" shapeId="0" xr:uid="{67D4620D-9C8B-4B82-9F0E-0B47F6884A20}">
      <text>
        <r>
          <rPr>
            <b/>
            <sz val="9"/>
            <color indexed="81"/>
            <rFont val="Tahoma"/>
            <family val="2"/>
          </rPr>
          <t>Nathan Butler:</t>
        </r>
        <r>
          <rPr>
            <sz val="9"/>
            <color indexed="81"/>
            <rFont val="Tahoma"/>
            <family val="2"/>
          </rPr>
          <t xml:space="preserve">
5% cost increases after 2023</t>
        </r>
      </text>
    </comment>
    <comment ref="F65" authorId="0" shapeId="0" xr:uid="{A8088F05-2DF6-40D8-B9A9-C1CF3277DA30}">
      <text>
        <r>
          <rPr>
            <b/>
            <sz val="9"/>
            <color indexed="81"/>
            <rFont val="Tahoma"/>
            <family val="2"/>
          </rPr>
          <t>Nathan Butler:</t>
        </r>
        <r>
          <rPr>
            <sz val="9"/>
            <color indexed="81"/>
            <rFont val="Tahoma"/>
            <family val="2"/>
          </rPr>
          <t xml:space="preserve">
Planned for a 5% increase, but the actual increase is unknown</t>
        </r>
      </text>
    </comment>
    <comment ref="F69" authorId="0" shapeId="0" xr:uid="{146A9A15-4502-4F9E-AE87-FA00F1AC1704}">
      <text>
        <r>
          <rPr>
            <b/>
            <sz val="9"/>
            <color indexed="81"/>
            <rFont val="Tahoma"/>
            <family val="2"/>
          </rPr>
          <t>Nathan Butler:</t>
        </r>
        <r>
          <rPr>
            <sz val="9"/>
            <color indexed="81"/>
            <rFont val="Tahoma"/>
            <family val="2"/>
          </rPr>
          <t xml:space="preserve">
Planned for a 5% increase, but the actual increase is unknown</t>
        </r>
      </text>
    </comment>
    <comment ref="E70" authorId="0" shapeId="0" xr:uid="{7D184016-9709-4202-977B-1D9A93E913FD}">
      <text>
        <r>
          <rPr>
            <b/>
            <sz val="9"/>
            <color indexed="81"/>
            <rFont val="Tahoma"/>
            <family val="2"/>
          </rPr>
          <t>Nathan Butler:</t>
        </r>
        <r>
          <rPr>
            <sz val="9"/>
            <color indexed="81"/>
            <rFont val="Tahoma"/>
            <family val="2"/>
          </rPr>
          <t xml:space="preserve">
Fairly normal annual increase, especially after the number of deer collisions last year </t>
        </r>
      </text>
    </comment>
    <comment ref="G70" authorId="0" shapeId="0" xr:uid="{24625561-192A-4E02-8B15-D5E91D738D3E}">
      <text>
        <r>
          <rPr>
            <b/>
            <sz val="9"/>
            <color indexed="81"/>
            <rFont val="Tahoma"/>
            <charset val="1"/>
          </rPr>
          <t>Nathan Butler:</t>
        </r>
        <r>
          <rPr>
            <sz val="9"/>
            <color indexed="81"/>
            <rFont val="Tahoma"/>
            <charset val="1"/>
          </rPr>
          <t xml:space="preserve">
Planned on 2.5% increases annually for these subcategories</t>
        </r>
      </text>
    </comment>
    <comment ref="F72" authorId="0" shapeId="0" xr:uid="{2C479637-3112-4AA9-B084-57D42705289D}">
      <text>
        <r>
          <rPr>
            <b/>
            <sz val="9"/>
            <color indexed="81"/>
            <rFont val="Tahoma"/>
            <family val="2"/>
          </rPr>
          <t>Nathan Butler:</t>
        </r>
        <r>
          <rPr>
            <sz val="9"/>
            <color indexed="81"/>
            <rFont val="Tahoma"/>
            <family val="2"/>
          </rPr>
          <t xml:space="preserve">
EMS and Trauma Council dues, other dues</t>
        </r>
      </text>
    </comment>
    <comment ref="G72" authorId="0" shapeId="0" xr:uid="{10CCF76F-0694-450A-A0A9-40CB6E149447}">
      <text>
        <r>
          <rPr>
            <b/>
            <sz val="9"/>
            <color indexed="81"/>
            <rFont val="Tahoma"/>
            <family val="2"/>
          </rPr>
          <t>Nathan Butler:</t>
        </r>
        <r>
          <rPr>
            <sz val="9"/>
            <color indexed="81"/>
            <rFont val="Tahoma"/>
            <family val="2"/>
          </rPr>
          <t xml:space="preserve">
They bill unevenly, so actuals are spread out. </t>
        </r>
      </text>
    </comment>
    <comment ref="H72" authorId="0" shapeId="0" xr:uid="{EECE0556-A6DA-49AF-810A-4D08012C4FD1}">
      <text>
        <r>
          <rPr>
            <b/>
            <sz val="9"/>
            <color indexed="81"/>
            <rFont val="Tahoma"/>
            <family val="2"/>
          </rPr>
          <t>Nathan Butler:</t>
        </r>
        <r>
          <rPr>
            <sz val="9"/>
            <color indexed="81"/>
            <rFont val="Tahoma"/>
            <family val="2"/>
          </rPr>
          <t xml:space="preserve">
No reason to expect cost increases here</t>
        </r>
      </text>
    </comment>
    <comment ref="F76" authorId="0" shapeId="0" xr:uid="{3DAE2E35-3AD2-4E4E-8AA1-74CBEF31E296}">
      <text>
        <r>
          <rPr>
            <b/>
            <sz val="9"/>
            <color indexed="81"/>
            <rFont val="Tahoma"/>
            <family val="2"/>
          </rPr>
          <t>Nathan Butler:</t>
        </r>
        <r>
          <rPr>
            <sz val="9"/>
            <color indexed="81"/>
            <rFont val="Tahoma"/>
            <family val="2"/>
          </rPr>
          <t xml:space="preserve">
This is actually for food at OTEP night and such</t>
        </r>
      </text>
    </comment>
    <comment ref="G76" authorId="0" shapeId="0" xr:uid="{85B11D05-67E2-4D2A-83EF-E1E2266ED6A0}">
      <text>
        <r>
          <rPr>
            <b/>
            <sz val="9"/>
            <color indexed="81"/>
            <rFont val="Tahoma"/>
            <family val="2"/>
          </rPr>
          <t>Nathan Butler:</t>
        </r>
        <r>
          <rPr>
            <sz val="9"/>
            <color indexed="81"/>
            <rFont val="Tahoma"/>
            <family val="2"/>
          </rPr>
          <t xml:space="preserve">
We plan to do a lot more training. See 522.20.43.000x and 522.45.49.0003 for more information. </t>
        </r>
      </text>
    </comment>
    <comment ref="H76" authorId="0" shapeId="0" xr:uid="{7C115D71-3C0D-4A6E-B11E-12A26D134F6A}">
      <text>
        <r>
          <rPr>
            <b/>
            <sz val="9"/>
            <color indexed="81"/>
            <rFont val="Tahoma"/>
            <charset val="1"/>
          </rPr>
          <t>Nathan Butler:</t>
        </r>
        <r>
          <rPr>
            <sz val="9"/>
            <color indexed="81"/>
            <rFont val="Tahoma"/>
            <charset val="1"/>
          </rPr>
          <t xml:space="preserve">
2.5% increases across this row </t>
        </r>
      </text>
    </comment>
    <comment ref="F77" authorId="0" shapeId="0" xr:uid="{146786B8-253B-46E7-B364-9419ED4694D7}">
      <text>
        <r>
          <rPr>
            <b/>
            <sz val="9"/>
            <color indexed="81"/>
            <rFont val="Tahoma"/>
            <family val="2"/>
          </rPr>
          <t>Nathan Butler:</t>
        </r>
        <r>
          <rPr>
            <sz val="9"/>
            <color indexed="81"/>
            <rFont val="Tahoma"/>
            <family val="2"/>
          </rPr>
          <t xml:space="preserve">
2020 was high, but 2021 was much lower. Staff turnover has a big impact on this. </t>
        </r>
      </text>
    </comment>
    <comment ref="D81" authorId="0" shapeId="0" xr:uid="{AA5F5777-9B48-4742-82E9-517AF6036155}">
      <text>
        <r>
          <rPr>
            <b/>
            <sz val="9"/>
            <color indexed="81"/>
            <rFont val="Tahoma"/>
            <family val="2"/>
          </rPr>
          <t>Nathan Butler:</t>
        </r>
        <r>
          <rPr>
            <sz val="9"/>
            <color indexed="81"/>
            <rFont val="Tahoma"/>
            <family val="2"/>
          </rPr>
          <t xml:space="preserve">
This includes the full backpay paid out in Feb / March 2021, so the first half of the year will cost more than the second half</t>
        </r>
      </text>
    </comment>
    <comment ref="E81" authorId="0" shapeId="0" xr:uid="{F088C8A7-B928-4FEF-8846-FF521B0C58EE}">
      <text>
        <r>
          <rPr>
            <b/>
            <sz val="9"/>
            <color indexed="81"/>
            <rFont val="Tahoma"/>
            <family val="2"/>
          </rPr>
          <t>Nathan Butler:</t>
        </r>
        <r>
          <rPr>
            <sz val="9"/>
            <color indexed="81"/>
            <rFont val="Tahoma"/>
            <family val="2"/>
          </rPr>
          <t xml:space="preserve">
We now have per diems, and have had an employee on extended leave, so costs are higher. Monthly expenditure is around $20,000</t>
        </r>
      </text>
    </comment>
    <comment ref="F81" authorId="0" shapeId="0" xr:uid="{DA82A1BC-5635-4F6F-AADC-58E432C198EF}">
      <text>
        <r>
          <rPr>
            <b/>
            <sz val="9"/>
            <color indexed="81"/>
            <rFont val="Tahoma"/>
            <family val="2"/>
          </rPr>
          <t>Nathan Butler:</t>
        </r>
        <r>
          <rPr>
            <sz val="9"/>
            <color indexed="81"/>
            <rFont val="Tahoma"/>
            <family val="2"/>
          </rPr>
          <t xml:space="preserve">
No backpay this year, but three raises (5% in Aug 2022)  and COLA (2-4%) in Jan 2022. Includes a 5th EMT and a per diem EMT. We've made a lot of staffing changes over the last few months, and costs have gone down, but it makes it hard to estimate. Based on current projections, these costs could be substantially lower, so this is conservative budgeting. </t>
        </r>
      </text>
    </comment>
    <comment ref="G81" authorId="0" shapeId="0" xr:uid="{C99D93DA-5CF5-4FC9-8CFA-069B501CB44B}">
      <text>
        <r>
          <rPr>
            <b/>
            <sz val="9"/>
            <color indexed="81"/>
            <rFont val="Tahoma"/>
            <family val="2"/>
          </rPr>
          <t>Nathan Butler:</t>
        </r>
        <r>
          <rPr>
            <sz val="9"/>
            <color indexed="81"/>
            <rFont val="Tahoma"/>
            <family val="2"/>
          </rPr>
          <t xml:space="preserve">
We are still adjusting to having added a 5th staff EMT, and how much it impacts OT. Given how thin our volunteer core is having adequete crew is critical as there is not a ready replacement. We're budgeting conservatively. 
Appears to be about $310,000 plus a 3% COLA and five raises of 3% - 5% each</t>
        </r>
      </text>
    </comment>
    <comment ref="H81" authorId="0" shapeId="0" xr:uid="{12D27024-6E8E-44AE-9567-E0598F84BAB5}">
      <text>
        <r>
          <rPr>
            <b/>
            <sz val="9"/>
            <color indexed="81"/>
            <rFont val="Tahoma"/>
            <charset val="1"/>
          </rPr>
          <t>Nathan Butler:</t>
        </r>
        <r>
          <rPr>
            <sz val="9"/>
            <color indexed="81"/>
            <rFont val="Tahoma"/>
            <charset val="1"/>
          </rPr>
          <t xml:space="preserve">
Our staff are mostly new EMTs, which means they are likely due raises of 5% or so until year five or so, plus COLA of 2 - 4%</t>
        </r>
      </text>
    </comment>
    <comment ref="L81" authorId="0" shapeId="0" xr:uid="{F36ABB9F-1D6A-4946-B4CD-2739CE28AFD8}">
      <text>
        <r>
          <rPr>
            <b/>
            <sz val="9"/>
            <color indexed="81"/>
            <rFont val="Tahoma"/>
            <charset val="1"/>
          </rPr>
          <t>Nathan Butler:</t>
        </r>
        <r>
          <rPr>
            <sz val="9"/>
            <color indexed="81"/>
            <rFont val="Tahoma"/>
            <charset val="1"/>
          </rPr>
          <t xml:space="preserve">
Most employees will be receiving 3% raises in this year rather than 5%</t>
        </r>
      </text>
    </comment>
    <comment ref="F82" authorId="0" shapeId="0" xr:uid="{7DB58BCD-CF58-425F-97CB-91AF081D35B1}">
      <text>
        <r>
          <rPr>
            <b/>
            <sz val="9"/>
            <color indexed="81"/>
            <rFont val="Tahoma"/>
            <family val="2"/>
          </rPr>
          <t>Nathan Butler:</t>
        </r>
        <r>
          <rPr>
            <sz val="9"/>
            <color indexed="81"/>
            <rFont val="Tahoma"/>
            <family val="2"/>
          </rPr>
          <t xml:space="preserve">
Est. based on Paramedic, annual salary of $115,000. Can pay less for an EMT, but would have less overall value for the agency. </t>
        </r>
        <r>
          <rPr>
            <u/>
            <sz val="9"/>
            <color indexed="81"/>
            <rFont val="Tahoma"/>
            <family val="2"/>
          </rPr>
          <t xml:space="preserve">HOWEVER, we only expect this hire to be for about six months of the year. </t>
        </r>
      </text>
    </comment>
    <comment ref="G82" authorId="0" shapeId="0" xr:uid="{4FA0FE00-BE81-48D7-BC03-404C3CF13B9D}">
      <text>
        <r>
          <rPr>
            <b/>
            <sz val="9"/>
            <color indexed="81"/>
            <rFont val="Tahoma"/>
            <family val="2"/>
          </rPr>
          <t>Nathan Butler:</t>
        </r>
        <r>
          <rPr>
            <sz val="9"/>
            <color indexed="81"/>
            <rFont val="Tahoma"/>
            <family val="2"/>
          </rPr>
          <t xml:space="preserve">
1st full year employment. Wages will be $85,000 - $95,000 for an EMT, $110,000 - $120,000 for a paramedic 
</t>
        </r>
      </text>
    </comment>
    <comment ref="H82" authorId="0" shapeId="0" xr:uid="{3575825F-593F-4E01-A709-5F886F9D74CA}">
      <text>
        <r>
          <rPr>
            <b/>
            <sz val="9"/>
            <color indexed="81"/>
            <rFont val="Tahoma"/>
            <family val="2"/>
          </rPr>
          <t>Nathan Butler:</t>
        </r>
        <r>
          <rPr>
            <sz val="9"/>
            <color indexed="81"/>
            <rFont val="Tahoma"/>
            <family val="2"/>
          </rPr>
          <t xml:space="preserve">
Expected 2-3% COLA. </t>
        </r>
      </text>
    </comment>
    <comment ref="E84" authorId="0" shapeId="0" xr:uid="{C6F40243-BDA0-42A5-BF0C-E61F401B31D9}">
      <text>
        <r>
          <rPr>
            <b/>
            <sz val="9"/>
            <color indexed="81"/>
            <rFont val="Tahoma"/>
            <charset val="1"/>
          </rPr>
          <t>Nathan Butler:</t>
        </r>
        <r>
          <rPr>
            <sz val="9"/>
            <color indexed="81"/>
            <rFont val="Tahoma"/>
            <charset val="1"/>
          </rPr>
          <t xml:space="preserve">
adding in $20,000 for 5th medic training in 2021 </t>
        </r>
      </text>
    </comment>
    <comment ref="F84" authorId="0" shapeId="0" xr:uid="{86782881-90C4-4451-B260-20248416705F}">
      <text>
        <r>
          <rPr>
            <b/>
            <sz val="9"/>
            <color indexed="81"/>
            <rFont val="Tahoma"/>
            <family val="2"/>
          </rPr>
          <t>Nathan Butler:</t>
        </r>
        <r>
          <rPr>
            <sz val="9"/>
            <color indexed="81"/>
            <rFont val="Tahoma"/>
            <family val="2"/>
          </rPr>
          <t xml:space="preserve">
Base salaries, plus about 3% for half of the four medics, plus a medic student stipend for Margaret Longley through August, then fulltime for Longley after. 
Works out to about $38,000 per month Jan - August 2022 ($304,000), then $40,000 per month Sept - Dec 2022 ($160,000). </t>
        </r>
      </text>
    </comment>
    <comment ref="G84" authorId="0" shapeId="0" xr:uid="{84FDA5E2-1D40-414C-94C8-1F7B277F92D1}">
      <text>
        <r>
          <rPr>
            <b/>
            <sz val="9"/>
            <color indexed="81"/>
            <rFont val="Tahoma"/>
            <family val="2"/>
          </rPr>
          <t>Nathan Butler:</t>
        </r>
        <r>
          <rPr>
            <sz val="9"/>
            <color indexed="81"/>
            <rFont val="Tahoma"/>
            <family val="2"/>
          </rPr>
          <t xml:space="preserve">
Two paramedics are at max step, so get COLA only. The other three are due rasies of 3 - 5% plus COLA. Also, Longley (5th and new medic) will be working full-time all through 2023 (she was in training at partial pay through most of 2022). 
Once Margaret goes full-time, at current wages, it would be $40,000/month (annualized $480,000). Adding in an average of 5% since some employees get COLA and no raise (2 of 5) while the others are due COLA and raises that vary between 3-5%.
</t>
        </r>
      </text>
    </comment>
    <comment ref="I84" authorId="0" shapeId="0" xr:uid="{3D5785BD-B3F7-44DD-AF10-4515A7EF9600}">
      <text>
        <r>
          <rPr>
            <b/>
            <sz val="9"/>
            <color indexed="81"/>
            <rFont val="Tahoma"/>
            <charset val="1"/>
          </rPr>
          <t>Nathan Butler:</t>
        </r>
        <r>
          <rPr>
            <sz val="9"/>
            <color indexed="81"/>
            <rFont val="Tahoma"/>
            <charset val="1"/>
          </rPr>
          <t xml:space="preserve">
Student to Medic school based on pending retirement ($60,000).
5% increase over 2024 = $556,764. Adding $60,000 = $606,765</t>
        </r>
      </text>
    </comment>
    <comment ref="J84" authorId="0" shapeId="0" xr:uid="{70DBE297-B519-4A44-B257-7FB1C7956497}">
      <text>
        <r>
          <rPr>
            <b/>
            <sz val="9"/>
            <color indexed="81"/>
            <rFont val="Tahoma"/>
            <charset val="1"/>
          </rPr>
          <t>Nathan Butler:</t>
        </r>
        <r>
          <rPr>
            <sz val="9"/>
            <color indexed="81"/>
            <rFont val="Tahoma"/>
            <charset val="1"/>
          </rPr>
          <t xml:space="preserve">
We're likely to have 1-2 retirements in 2024 - 2026, which will lower overall costs by making the medic corp more junior. We budgeted for one top-level retirement rather than two (which reduces costs by about $50,000/year for 2026 over what they would have been)</t>
        </r>
      </text>
    </comment>
    <comment ref="F86" authorId="0" shapeId="0" xr:uid="{A63F07DE-B1D7-4C5F-A11D-73A151CFC2C3}">
      <text>
        <r>
          <rPr>
            <b/>
            <sz val="9"/>
            <color indexed="81"/>
            <rFont val="Tahoma"/>
            <family val="2"/>
          </rPr>
          <t>Nathan Butler:</t>
        </r>
        <r>
          <rPr>
            <sz val="9"/>
            <color indexed="81"/>
            <rFont val="Tahoma"/>
            <family val="2"/>
          </rPr>
          <t xml:space="preserve">
Some of our active volunteers became per diem EMTs. The expansion of Community Paramedicine never happened because those interested have been willing to do it for free</t>
        </r>
      </text>
    </comment>
    <comment ref="G86" authorId="0" shapeId="0" xr:uid="{7BCBDF85-E94C-41ED-88DE-E2C0B1317E2D}">
      <text>
        <r>
          <rPr>
            <b/>
            <sz val="9"/>
            <color indexed="81"/>
            <rFont val="Tahoma"/>
            <family val="2"/>
          </rPr>
          <t>Nathan Butler:</t>
        </r>
        <r>
          <rPr>
            <sz val="9"/>
            <color indexed="81"/>
            <rFont val="Tahoma"/>
            <family val="2"/>
          </rPr>
          <t xml:space="preserve">
We have been and will be rebuilding our volunteer response
</t>
        </r>
      </text>
    </comment>
    <comment ref="H86" authorId="0" shapeId="0" xr:uid="{B4B5FBAA-ED7B-44CE-96F8-D3AD17ED5308}">
      <text>
        <r>
          <rPr>
            <b/>
            <sz val="9"/>
            <color indexed="81"/>
            <rFont val="Tahoma"/>
            <family val="2"/>
          </rPr>
          <t>Nathan Butler:</t>
        </r>
        <r>
          <rPr>
            <sz val="9"/>
            <color indexed="81"/>
            <rFont val="Tahoma"/>
            <family val="2"/>
          </rPr>
          <t xml:space="preserve">
Planning 3% increase in costs, but it's not a very exact number</t>
        </r>
      </text>
    </comment>
    <comment ref="E88" authorId="0" shapeId="0" xr:uid="{17A3C13F-D3BB-4C74-BBE5-D044CEA5F176}">
      <text>
        <r>
          <rPr>
            <b/>
            <sz val="9"/>
            <color indexed="81"/>
            <rFont val="Tahoma"/>
            <family val="2"/>
          </rPr>
          <t>Nathan Butler:</t>
        </r>
        <r>
          <rPr>
            <sz val="9"/>
            <color indexed="81"/>
            <rFont val="Tahoma"/>
            <family val="2"/>
          </rPr>
          <t xml:space="preserve">
We did close out some PTO liabilities in October, it is not reflected in the YTD</t>
        </r>
      </text>
    </comment>
    <comment ref="G88" authorId="0" shapeId="0" xr:uid="{4BFE3E3C-A8AF-433B-80ED-6BD2A8EA3A3F}">
      <text>
        <r>
          <rPr>
            <b/>
            <sz val="9"/>
            <color indexed="81"/>
            <rFont val="Tahoma"/>
            <family val="2"/>
          </rPr>
          <t>Nathan Butler:</t>
        </r>
        <r>
          <rPr>
            <sz val="9"/>
            <color indexed="81"/>
            <rFont val="Tahoma"/>
            <family val="2"/>
          </rPr>
          <t xml:space="preserve">
PTO is increasing in value with wages at around 5-7% </t>
        </r>
      </text>
    </comment>
    <comment ref="I88" authorId="0" shapeId="0" xr:uid="{187E2D8A-F82E-4E47-81E9-61523BF68FA8}">
      <text>
        <r>
          <rPr>
            <b/>
            <sz val="9"/>
            <color indexed="81"/>
            <rFont val="Tahoma"/>
            <family val="2"/>
          </rPr>
          <t>Nathan Butler:</t>
        </r>
        <r>
          <rPr>
            <sz val="9"/>
            <color indexed="81"/>
            <rFont val="Tahoma"/>
            <family val="2"/>
          </rPr>
          <t xml:space="preserve">
We anticipate cashed out PTO from retiring employees </t>
        </r>
      </text>
    </comment>
    <comment ref="F91" authorId="0" shapeId="0" xr:uid="{4C21CD14-1A55-4A1C-A9A5-6B72314AAD5E}">
      <text>
        <r>
          <rPr>
            <b/>
            <sz val="9"/>
            <color indexed="81"/>
            <rFont val="Tahoma"/>
            <family val="2"/>
          </rPr>
          <t>Nathan Butler:</t>
        </r>
        <r>
          <rPr>
            <sz val="9"/>
            <color indexed="81"/>
            <rFont val="Tahoma"/>
            <family val="2"/>
          </rPr>
          <t xml:space="preserve">
FICA is about 8% of wages </t>
        </r>
      </text>
    </comment>
    <comment ref="F92" authorId="0" shapeId="0" xr:uid="{6252A6F4-3512-4777-AB78-95C0930D3941}">
      <text>
        <r>
          <rPr>
            <b/>
            <sz val="9"/>
            <color indexed="81"/>
            <rFont val="Tahoma"/>
            <family val="2"/>
          </rPr>
          <t>Nathan Butler:</t>
        </r>
        <r>
          <rPr>
            <sz val="9"/>
            <color indexed="81"/>
            <rFont val="Tahoma"/>
            <family val="2"/>
          </rPr>
          <t xml:space="preserve">
L&amp;I varies by industry, and seems to be about 4% of wages historically for EMS</t>
        </r>
      </text>
    </comment>
    <comment ref="F93" authorId="0" shapeId="0" xr:uid="{4C48E276-2798-4FB1-912C-A8EBA7612E0D}">
      <text>
        <r>
          <rPr>
            <b/>
            <sz val="9"/>
            <color indexed="81"/>
            <rFont val="Tahoma"/>
            <family val="2"/>
          </rPr>
          <t>Nathan Butler:</t>
        </r>
        <r>
          <rPr>
            <sz val="9"/>
            <color indexed="81"/>
            <rFont val="Tahoma"/>
            <family val="2"/>
          </rPr>
          <t xml:space="preserve">
LEOFF is about 5% of full-time employees. This works out to about 4.5% of our wages historically </t>
        </r>
      </text>
    </comment>
    <comment ref="F94" authorId="0" shapeId="0" xr:uid="{79AF8431-C4D2-4AB2-AD5B-E92047916760}">
      <text>
        <r>
          <rPr>
            <b/>
            <sz val="9"/>
            <color indexed="81"/>
            <rFont val="Tahoma"/>
            <charset val="1"/>
          </rPr>
          <t>Nathan Butler:</t>
        </r>
        <r>
          <rPr>
            <sz val="9"/>
            <color indexed="81"/>
            <rFont val="Tahoma"/>
            <charset val="1"/>
          </rPr>
          <t xml:space="preserve">
Current rate is about $11,000 per month, or $132,000 per year. Adding 7% as a placeholder for increase in costs and the addition of one employee for six months (Assistant Chief) </t>
        </r>
      </text>
    </comment>
    <comment ref="G94" authorId="0" shapeId="0" xr:uid="{850B53DB-5887-4268-8E68-7D1F4B6958A7}">
      <text>
        <r>
          <rPr>
            <b/>
            <sz val="9"/>
            <color indexed="81"/>
            <rFont val="Tahoma"/>
            <charset val="1"/>
          </rPr>
          <t>Nathan Butler:</t>
        </r>
        <r>
          <rPr>
            <sz val="9"/>
            <color indexed="81"/>
            <rFont val="Tahoma"/>
            <charset val="1"/>
          </rPr>
          <t xml:space="preserve">
Adding Assist chief for all 12 months</t>
        </r>
      </text>
    </comment>
    <comment ref="F95" authorId="0" shapeId="0" xr:uid="{2897A552-C65C-4379-9E1C-F82F5272F157}">
      <text>
        <r>
          <rPr>
            <b/>
            <sz val="9"/>
            <color indexed="81"/>
            <rFont val="Tahoma"/>
            <charset val="1"/>
          </rPr>
          <t>Nathan Butler:</t>
        </r>
        <r>
          <rPr>
            <sz val="9"/>
            <color indexed="81"/>
            <rFont val="Tahoma"/>
            <charset val="1"/>
          </rPr>
          <t xml:space="preserve">
12 employees, including assistant chief  </t>
        </r>
      </text>
    </comment>
    <comment ref="F97" authorId="0" shapeId="0" xr:uid="{733C58A6-7966-4003-89DB-6F8C347F7974}">
      <text>
        <r>
          <rPr>
            <b/>
            <sz val="9"/>
            <color indexed="81"/>
            <rFont val="Tahoma"/>
            <charset val="1"/>
          </rPr>
          <t xml:space="preserve">Nathan Butler:
</t>
        </r>
        <r>
          <rPr>
            <sz val="9"/>
            <color indexed="81"/>
            <rFont val="Tahoma"/>
            <family val="2"/>
          </rPr>
          <t>Past plus 10% for an extra employee and cost increases. This is an annual cost, so no savings against six months for the Assist Chief</t>
        </r>
      </text>
    </comment>
    <comment ref="G98" authorId="0" shapeId="0" xr:uid="{13710687-5D26-4684-9F70-551569081A90}">
      <text>
        <r>
          <rPr>
            <b/>
            <sz val="9"/>
            <color indexed="81"/>
            <rFont val="Tahoma"/>
            <charset val="1"/>
          </rPr>
          <t>Nathan Butler:</t>
        </r>
        <r>
          <rPr>
            <sz val="9"/>
            <color indexed="81"/>
            <rFont val="Tahoma"/>
            <charset val="1"/>
          </rPr>
          <t xml:space="preserve">
Rate is 0.15% of wages</t>
        </r>
      </text>
    </comment>
    <comment ref="F99" authorId="0" shapeId="0" xr:uid="{5AB122A5-E390-4FB6-B55D-7D66728E9687}">
      <text>
        <r>
          <rPr>
            <b/>
            <sz val="9"/>
            <color indexed="81"/>
            <rFont val="Tahoma"/>
            <charset val="1"/>
          </rPr>
          <t>Nathan Butler:</t>
        </r>
        <r>
          <rPr>
            <sz val="9"/>
            <color indexed="81"/>
            <rFont val="Tahoma"/>
            <charset val="1"/>
          </rPr>
          <t xml:space="preserve">
We do provide dental, but it is included with medical insurance costs</t>
        </r>
      </text>
    </comment>
    <comment ref="F100" authorId="0" shapeId="0" xr:uid="{A71A6DF0-AC40-4E18-9EC1-992B2A6C6D0E}">
      <text>
        <r>
          <rPr>
            <b/>
            <sz val="9"/>
            <color indexed="81"/>
            <rFont val="Tahoma"/>
            <family val="2"/>
          </rPr>
          <t>Nathan Butler:</t>
        </r>
        <r>
          <rPr>
            <sz val="9"/>
            <color indexed="81"/>
            <rFont val="Tahoma"/>
            <family val="2"/>
          </rPr>
          <t xml:space="preserve">
This is money that is set aside for employees to spend on healthcare needs. They may or may not use it. This is the estimated maximum based on number of employees and dependents. </t>
        </r>
      </text>
    </comment>
    <comment ref="G100" authorId="0" shapeId="0" xr:uid="{05A88EB4-5E78-413F-90BC-ED09E22105B5}">
      <text>
        <r>
          <rPr>
            <b/>
            <sz val="9"/>
            <color indexed="81"/>
            <rFont val="Tahoma"/>
            <charset val="1"/>
          </rPr>
          <t>Nathan Butler:</t>
        </r>
        <r>
          <rPr>
            <sz val="9"/>
            <color indexed="81"/>
            <rFont val="Tahoma"/>
            <charset val="1"/>
          </rPr>
          <t xml:space="preserve">
This is a straight fee based on number of people. We may need to talk about increasing this at some point</t>
        </r>
      </text>
    </comment>
    <comment ref="F102" authorId="0" shapeId="0" xr:uid="{0E77342F-B033-46FE-BABD-A51AD3BD1854}">
      <text>
        <r>
          <rPr>
            <b/>
            <sz val="9"/>
            <color indexed="81"/>
            <rFont val="Tahoma"/>
            <family val="2"/>
          </rPr>
          <t>Nathan Butler:</t>
        </r>
        <r>
          <rPr>
            <sz val="9"/>
            <color indexed="81"/>
            <rFont val="Tahoma"/>
            <family val="2"/>
          </rPr>
          <t xml:space="preserve">
small cost increase, plus new employee</t>
        </r>
      </text>
    </comment>
    <comment ref="G102" authorId="0" shapeId="0" xr:uid="{0DD61293-39F4-4E5C-9488-DCB7DE9F70C4}">
      <text>
        <r>
          <rPr>
            <b/>
            <sz val="9"/>
            <color indexed="81"/>
            <rFont val="Tahoma"/>
            <charset val="1"/>
          </rPr>
          <t>Nathan Butler:</t>
        </r>
        <r>
          <rPr>
            <sz val="9"/>
            <color indexed="81"/>
            <rFont val="Tahoma"/>
            <charset val="1"/>
          </rPr>
          <t xml:space="preserve">
Est. 5% increases across the Board</t>
        </r>
      </text>
    </comment>
    <comment ref="F103" authorId="0" shapeId="0" xr:uid="{F6DD315D-B549-40DA-95A7-8168AE5A1365}">
      <text>
        <r>
          <rPr>
            <b/>
            <sz val="9"/>
            <color indexed="81"/>
            <rFont val="Tahoma"/>
            <family val="2"/>
          </rPr>
          <t>Nathan Butler:</t>
        </r>
        <r>
          <rPr>
            <sz val="9"/>
            <color indexed="81"/>
            <rFont val="Tahoma"/>
            <family val="2"/>
          </rPr>
          <t xml:space="preserve">
new employees </t>
        </r>
      </text>
    </comment>
    <comment ref="G103" authorId="0" shapeId="0" xr:uid="{268EA6DC-609B-4911-B666-0AC9AA93C451}">
      <text>
        <r>
          <rPr>
            <b/>
            <sz val="9"/>
            <color indexed="81"/>
            <rFont val="Tahoma"/>
            <charset val="1"/>
          </rPr>
          <t>Nathan Butler:</t>
        </r>
        <r>
          <rPr>
            <sz val="9"/>
            <color indexed="81"/>
            <rFont val="Tahoma"/>
            <charset val="1"/>
          </rPr>
          <t xml:space="preserve">
Est 5% increases across the Board, but is highly dependent on new employees (who need all new uniforms) vs. existing employee uniform replacement </t>
        </r>
      </text>
    </comment>
    <comment ref="F110" authorId="0" shapeId="0" xr:uid="{AFAD5806-1554-4AE2-A104-11B7DEA22DA1}">
      <text>
        <r>
          <rPr>
            <b/>
            <sz val="9"/>
            <color indexed="81"/>
            <rFont val="Tahoma"/>
            <family val="2"/>
          </rPr>
          <t xml:space="preserve">Nathan Butler:
</t>
        </r>
        <r>
          <rPr>
            <sz val="9"/>
            <color indexed="81"/>
            <rFont val="Tahoma"/>
            <family val="2"/>
          </rPr>
          <t>Historic use, plus a margin for high inflation and cost increases</t>
        </r>
      </text>
    </comment>
    <comment ref="G110" authorId="0" shapeId="0" xr:uid="{02798A68-D719-431D-A7EB-BA29AD641179}">
      <text>
        <r>
          <rPr>
            <b/>
            <sz val="9"/>
            <color indexed="81"/>
            <rFont val="Tahoma"/>
            <charset val="1"/>
          </rPr>
          <t>Nathan Butler:</t>
        </r>
        <r>
          <rPr>
            <sz val="9"/>
            <color indexed="81"/>
            <rFont val="Tahoma"/>
            <charset val="1"/>
          </rPr>
          <t xml:space="preserve">
4% increases </t>
        </r>
      </text>
    </comment>
    <comment ref="F111" authorId="0" shapeId="0" xr:uid="{D8D2F78D-6AF8-4007-85FB-6FF57F4D8D11}">
      <text>
        <r>
          <rPr>
            <b/>
            <sz val="9"/>
            <color indexed="81"/>
            <rFont val="Tahoma"/>
            <family val="2"/>
          </rPr>
          <t>Nathan Butler:</t>
        </r>
        <r>
          <rPr>
            <sz val="9"/>
            <color indexed="81"/>
            <rFont val="Tahoma"/>
            <family val="2"/>
          </rPr>
          <t xml:space="preserve">
Historic, with a generous buffer for cost increases</t>
        </r>
      </text>
    </comment>
    <comment ref="G111" authorId="0" shapeId="0" xr:uid="{0A2D5FD9-A69C-42B5-B742-EE9CC3469C95}">
      <text>
        <r>
          <rPr>
            <b/>
            <sz val="9"/>
            <color indexed="81"/>
            <rFont val="Tahoma"/>
            <charset val="1"/>
          </rPr>
          <t>Nathan Butler:</t>
        </r>
        <r>
          <rPr>
            <sz val="9"/>
            <color indexed="81"/>
            <rFont val="Tahoma"/>
            <charset val="1"/>
          </rPr>
          <t xml:space="preserve">
5% increases</t>
        </r>
      </text>
    </comment>
    <comment ref="E112" authorId="0" shapeId="0" xr:uid="{74DBE2E3-CC3B-44B1-ACE7-C5AFE38EE93A}">
      <text>
        <r>
          <rPr>
            <b/>
            <sz val="9"/>
            <color indexed="81"/>
            <rFont val="Tahoma"/>
            <family val="2"/>
          </rPr>
          <t>Nathan Butler:</t>
        </r>
        <r>
          <rPr>
            <sz val="9"/>
            <color indexed="81"/>
            <rFont val="Tahoma"/>
            <family val="2"/>
          </rPr>
          <t xml:space="preserve">
$760 for Halligan, rest is for a monthly Zoom account fee </t>
        </r>
      </text>
    </comment>
    <comment ref="G112" authorId="0" shapeId="0" xr:uid="{6B57C1C0-6004-418F-83FA-94E95BAF7560}">
      <text>
        <r>
          <rPr>
            <b/>
            <sz val="9"/>
            <color indexed="81"/>
            <rFont val="Tahoma"/>
            <charset val="1"/>
          </rPr>
          <t>Nathan Butler:</t>
        </r>
        <r>
          <rPr>
            <sz val="9"/>
            <color indexed="81"/>
            <rFont val="Tahoma"/>
            <charset val="1"/>
          </rPr>
          <t xml:space="preserve">
5% increases</t>
        </r>
      </text>
    </comment>
    <comment ref="G115" authorId="0" shapeId="0" xr:uid="{79AAB0E6-CCED-40E4-B3DB-5FC892D72FAD}">
      <text>
        <r>
          <rPr>
            <b/>
            <sz val="9"/>
            <color indexed="81"/>
            <rFont val="Tahoma"/>
            <charset val="1"/>
          </rPr>
          <t>Nathan Butler:</t>
        </r>
        <r>
          <rPr>
            <sz val="9"/>
            <color indexed="81"/>
            <rFont val="Tahoma"/>
            <charset val="1"/>
          </rPr>
          <t xml:space="preserve">
4% increases</t>
        </r>
      </text>
    </comment>
    <comment ref="F118" authorId="0" shapeId="0" xr:uid="{17E1EFB1-9FF4-43CE-B77F-8432B67777FE}">
      <text>
        <r>
          <rPr>
            <b/>
            <sz val="9"/>
            <color indexed="81"/>
            <rFont val="Tahoma"/>
            <family val="2"/>
          </rPr>
          <t>Nathan Butler:</t>
        </r>
        <r>
          <rPr>
            <sz val="9"/>
            <color indexed="81"/>
            <rFont val="Tahoma"/>
            <family val="2"/>
          </rPr>
          <t xml:space="preserve">
Some  new equipment in the MPD's new protocols, e.g. ultrasounds. Mostly the annual payment on the lifepaks of about $50,000 for 5 years </t>
        </r>
      </text>
    </comment>
    <comment ref="G118" authorId="0" shapeId="0" xr:uid="{2F5EBDBB-BEBF-4808-81C6-84E0FD614D62}">
      <text>
        <r>
          <rPr>
            <b/>
            <sz val="9"/>
            <color indexed="81"/>
            <rFont val="Tahoma"/>
            <charset val="1"/>
          </rPr>
          <t>Nathan Butler:</t>
        </r>
        <r>
          <rPr>
            <sz val="9"/>
            <color indexed="81"/>
            <rFont val="Tahoma"/>
            <charset val="1"/>
          </rPr>
          <t xml:space="preserve">
LifePaks should be paid off at the end of 2023 (5 years from the 2019 purchase)</t>
        </r>
      </text>
    </comment>
    <comment ref="L118" authorId="0" shapeId="0" xr:uid="{C3584DEE-141B-48CB-8221-EE70FA7A183F}">
      <text>
        <r>
          <rPr>
            <b/>
            <sz val="9"/>
            <color indexed="81"/>
            <rFont val="Tahoma"/>
            <charset val="1"/>
          </rPr>
          <t>Nathan Butler:</t>
        </r>
        <r>
          <rPr>
            <sz val="9"/>
            <color indexed="81"/>
            <rFont val="Tahoma"/>
            <charset val="1"/>
          </rPr>
          <t xml:space="preserve">
Time to order more Life Paks. First installment of 5 with an added cost increase buffer. </t>
        </r>
      </text>
    </comment>
    <comment ref="F119" authorId="0" shapeId="0" xr:uid="{9CFBD3E8-3274-4973-8BF1-71E23125ACE5}">
      <text>
        <r>
          <rPr>
            <b/>
            <sz val="9"/>
            <color indexed="81"/>
            <rFont val="Tahoma"/>
            <family val="2"/>
          </rPr>
          <t>Nathan Butler:</t>
        </r>
        <r>
          <rPr>
            <sz val="9"/>
            <color indexed="81"/>
            <rFont val="Tahoma"/>
            <family val="2"/>
          </rPr>
          <t xml:space="preserve">
In 2021 we invested quite a bit in new radios, but we still anticipate higher than expected expenses as CODAN is implemented. </t>
        </r>
      </text>
    </comment>
    <comment ref="G119" authorId="0" shapeId="0" xr:uid="{F3CD9DD2-74FD-422A-A521-AD1F865543A5}">
      <text>
        <r>
          <rPr>
            <b/>
            <sz val="9"/>
            <color indexed="81"/>
            <rFont val="Tahoma"/>
            <charset val="1"/>
          </rPr>
          <t>Nathan Butler:</t>
        </r>
        <r>
          <rPr>
            <sz val="9"/>
            <color indexed="81"/>
            <rFont val="Tahoma"/>
            <charset val="1"/>
          </rPr>
          <t xml:space="preserve">
We need to be replacing half our pagers in 2023 (about $15,000), and replace most our computers (can be split with 2024 if necessary) at about $2500 per computer station - includes computer, docking station, monitors, peripherals. We have 10 stations (includes administrative staff and rotating staff). </t>
        </r>
      </text>
    </comment>
    <comment ref="H119" authorId="0" shapeId="0" xr:uid="{DCDF7D49-03E5-4D46-A847-EEF16E1F9405}">
      <text>
        <r>
          <rPr>
            <b/>
            <sz val="9"/>
            <color indexed="81"/>
            <rFont val="Tahoma"/>
            <charset val="1"/>
          </rPr>
          <t>Nathan Butler:</t>
        </r>
        <r>
          <rPr>
            <sz val="9"/>
            <color indexed="81"/>
            <rFont val="Tahoma"/>
            <charset val="1"/>
          </rPr>
          <t xml:space="preserve">
Servers and other larger equipment need replaced by 2024, as well as the other half of the pagers ($15,000). The cost of servers, physical firewalls, etc., is a rough estimate </t>
        </r>
      </text>
    </comment>
    <comment ref="I119" authorId="0" shapeId="0" xr:uid="{72A47432-CF35-41BF-97D9-110878E3D67B}">
      <text>
        <r>
          <rPr>
            <b/>
            <sz val="9"/>
            <color indexed="81"/>
            <rFont val="Tahoma"/>
            <charset val="1"/>
          </rPr>
          <t>Nathan Butler:</t>
        </r>
        <r>
          <rPr>
            <sz val="9"/>
            <color indexed="81"/>
            <rFont val="Tahoma"/>
            <charset val="1"/>
          </rPr>
          <t xml:space="preserve">
Ongoing equipment replacement on a standardized plan 2025 - 2028 </t>
        </r>
      </text>
    </comment>
    <comment ref="F120" authorId="0" shapeId="0" xr:uid="{CC3C28FA-9459-436E-A1F1-99EFA67BBE6F}">
      <text>
        <r>
          <rPr>
            <b/>
            <sz val="9"/>
            <color indexed="81"/>
            <rFont val="Tahoma"/>
            <charset val="1"/>
          </rPr>
          <t>Nathan Butler:</t>
        </r>
        <r>
          <rPr>
            <sz val="9"/>
            <color indexed="81"/>
            <rFont val="Tahoma"/>
            <charset val="1"/>
          </rPr>
          <t xml:space="preserve">
ESO, Julota </t>
        </r>
      </text>
    </comment>
    <comment ref="H123" authorId="0" shapeId="0" xr:uid="{2C52F1A9-0BC3-489E-ACCB-A4CCEAFBC051}">
      <text>
        <r>
          <rPr>
            <b/>
            <sz val="9"/>
            <color indexed="81"/>
            <rFont val="Tahoma"/>
            <charset val="1"/>
          </rPr>
          <t>Nathan Butler:</t>
        </r>
        <r>
          <rPr>
            <sz val="9"/>
            <color indexed="81"/>
            <rFont val="Tahoma"/>
            <charset val="1"/>
          </rPr>
          <t xml:space="preserve">
We anticipate an eventual increase in cost - it hasn't changed in years. Estimated one-time increase of 20%</t>
        </r>
      </text>
    </comment>
    <comment ref="H124" authorId="0" shapeId="0" xr:uid="{EA546128-AEE8-4BE9-A87A-720839AC5DE3}">
      <text>
        <r>
          <rPr>
            <b/>
            <sz val="9"/>
            <color indexed="81"/>
            <rFont val="Tahoma"/>
            <charset val="1"/>
          </rPr>
          <t>Nathan Butler:</t>
        </r>
        <r>
          <rPr>
            <sz val="9"/>
            <color indexed="81"/>
            <rFont val="Tahoma"/>
            <charset val="1"/>
          </rPr>
          <t xml:space="preserve">
This cost will eventually go up. Estimated 20% one-time increase over the next six years</t>
        </r>
      </text>
    </comment>
    <comment ref="F125" authorId="0" shapeId="0" xr:uid="{E7C541D1-1510-4DBF-85EB-9A946194FE0B}">
      <text>
        <r>
          <rPr>
            <b/>
            <sz val="9"/>
            <color indexed="81"/>
            <rFont val="Tahoma"/>
            <family val="2"/>
          </rPr>
          <t>Nathan Butler:</t>
        </r>
        <r>
          <rPr>
            <sz val="9"/>
            <color indexed="81"/>
            <rFont val="Tahoma"/>
            <family val="2"/>
          </rPr>
          <t xml:space="preserve">
We're behind on medical exams, and need to do them next year. </t>
        </r>
      </text>
    </comment>
    <comment ref="F126" authorId="0" shapeId="0" xr:uid="{82B6CD38-0BAF-4354-A8B6-575BC87812E2}">
      <text>
        <r>
          <rPr>
            <b/>
            <sz val="9"/>
            <color indexed="81"/>
            <rFont val="Tahoma"/>
            <family val="2"/>
          </rPr>
          <t>Nathan Butler:</t>
        </r>
        <r>
          <rPr>
            <sz val="9"/>
            <color indexed="81"/>
            <rFont val="Tahoma"/>
            <family val="2"/>
          </rPr>
          <t xml:space="preserve">
It's a little cheaper than expected</t>
        </r>
      </text>
    </comment>
    <comment ref="H127" authorId="0" shapeId="0" xr:uid="{BE3C7E12-11FB-41E7-A8A4-171A1ECD2908}">
      <text>
        <r>
          <rPr>
            <b/>
            <sz val="9"/>
            <color indexed="81"/>
            <rFont val="Tahoma"/>
            <charset val="1"/>
          </rPr>
          <t>Nathan Butler:</t>
        </r>
        <r>
          <rPr>
            <sz val="9"/>
            <color indexed="81"/>
            <rFont val="Tahoma"/>
            <charset val="1"/>
          </rPr>
          <t xml:space="preserve">
Estimated one-time increase of 20% </t>
        </r>
      </text>
    </comment>
    <comment ref="F128" authorId="0" shapeId="0" xr:uid="{6D755440-5A81-4E3C-ABC9-1639448F1565}">
      <text>
        <r>
          <rPr>
            <b/>
            <sz val="9"/>
            <color indexed="81"/>
            <rFont val="Tahoma"/>
            <family val="2"/>
          </rPr>
          <t>Nathan Butler:</t>
        </r>
        <r>
          <rPr>
            <sz val="9"/>
            <color indexed="81"/>
            <rFont val="Tahoma"/>
            <family val="2"/>
          </rPr>
          <t xml:space="preserve">
Expecting a small increase in transports consistent with historical trends (but it's hard to predict right now). We recently had rates go up by $2 per transport and don’t expect another increase for a few years</t>
        </r>
      </text>
    </comment>
    <comment ref="H128" authorId="0" shapeId="0" xr:uid="{727E5515-22CB-438F-BC74-C8056F58E3CE}">
      <text>
        <r>
          <rPr>
            <b/>
            <sz val="9"/>
            <color indexed="81"/>
            <rFont val="Tahoma"/>
            <charset val="1"/>
          </rPr>
          <t>Nathan Butler:</t>
        </r>
        <r>
          <rPr>
            <sz val="9"/>
            <color indexed="81"/>
            <rFont val="Tahoma"/>
            <charset val="1"/>
          </rPr>
          <t xml:space="preserve">
Last increase was in 2021. Expecting cost increase by this year, therefore est. 15% increase rather than 5% (5% over next three years)</t>
        </r>
      </text>
    </comment>
    <comment ref="L128" authorId="0" shapeId="0" xr:uid="{53E1461D-2B78-479B-88DB-F383E29FF8DD}">
      <text>
        <r>
          <rPr>
            <b/>
            <sz val="9"/>
            <color indexed="81"/>
            <rFont val="Tahoma"/>
            <charset val="1"/>
          </rPr>
          <t>Nathan Butler:</t>
        </r>
        <r>
          <rPr>
            <sz val="9"/>
            <color indexed="81"/>
            <rFont val="Tahoma"/>
            <charset val="1"/>
          </rPr>
          <t xml:space="preserve">
Expecting another cost increase, budgeting 15% inrease rather than 5%</t>
        </r>
      </text>
    </comment>
    <comment ref="F129" authorId="0" shapeId="0" xr:uid="{539302C8-7EDF-46C0-92F0-A6AB858024D9}">
      <text>
        <r>
          <rPr>
            <b/>
            <sz val="9"/>
            <color indexed="81"/>
            <rFont val="Tahoma"/>
            <family val="2"/>
          </rPr>
          <t>Nathan Butler:</t>
        </r>
        <r>
          <rPr>
            <sz val="9"/>
            <color indexed="81"/>
            <rFont val="Tahoma"/>
            <family val="2"/>
          </rPr>
          <t xml:space="preserve">
historic use. It also includes many of our equipment and software purchases (which are essentially reimbursements to the contractor who purchases the items on our behalf)</t>
        </r>
      </text>
    </comment>
    <comment ref="F130" authorId="0" shapeId="0" xr:uid="{12D1F77D-8D2D-4501-BBDA-E40FDA03922B}">
      <text>
        <r>
          <rPr>
            <b/>
            <sz val="9"/>
            <color indexed="81"/>
            <rFont val="Tahoma"/>
            <family val="2"/>
          </rPr>
          <t>Nathan Butler:</t>
        </r>
        <r>
          <rPr>
            <sz val="9"/>
            <color indexed="81"/>
            <rFont val="Tahoma"/>
            <family val="2"/>
          </rPr>
          <t xml:space="preserve">
2022 will be a new mapbook year. It alternates years, at least in normal times. </t>
        </r>
      </text>
    </comment>
    <comment ref="F131" authorId="0" shapeId="0" xr:uid="{0BEBC552-3240-42B2-8170-2734154D25A8}">
      <text>
        <r>
          <rPr>
            <b/>
            <sz val="9"/>
            <color indexed="81"/>
            <rFont val="Tahoma"/>
            <family val="2"/>
          </rPr>
          <t>Nathan Butler:</t>
        </r>
        <r>
          <rPr>
            <sz val="9"/>
            <color indexed="81"/>
            <rFont val="Tahoma"/>
            <family val="2"/>
          </rPr>
          <t xml:space="preserve">
includes the survey company we use</t>
        </r>
      </text>
    </comment>
    <comment ref="G137" authorId="0" shapeId="0" xr:uid="{79363B46-38DD-4994-BB1C-7A0E62B02548}">
      <text>
        <r>
          <rPr>
            <b/>
            <sz val="9"/>
            <color indexed="81"/>
            <rFont val="Tahoma"/>
            <charset val="1"/>
          </rPr>
          <t>Nathan Butler:</t>
        </r>
        <r>
          <rPr>
            <sz val="9"/>
            <color indexed="81"/>
            <rFont val="Tahoma"/>
            <charset val="1"/>
          </rPr>
          <t xml:space="preserve">
We need to build a program for EMS professionals in our agency to go to the mainland for training and ride-alongs, especially as we move the medics into the station and add to their numbers. This reduces the overall number of intubations and procedures which each person performs. This has been a need for some time, as we are not a high-circulation system. 
Every medic (5 line, 1 Assistant Chief) for average of 3-5 days per year (total 45 days)  
Est. hotel stay = $150/day. 
Est. milleage $40/day 
Est. Meals = $50/day 
4% increases in subsequent years.</t>
        </r>
      </text>
    </comment>
    <comment ref="G142" authorId="0" shapeId="0" xr:uid="{66103445-F041-4000-99E9-C146A8DBE94D}">
      <text>
        <r>
          <rPr>
            <b/>
            <sz val="9"/>
            <color indexed="81"/>
            <rFont val="Tahoma"/>
            <charset val="1"/>
          </rPr>
          <t>Nathan Butler:</t>
        </r>
        <r>
          <rPr>
            <sz val="9"/>
            <color indexed="81"/>
            <rFont val="Tahoma"/>
            <charset val="1"/>
          </rPr>
          <t xml:space="preserve">
est 5% increases across the board </t>
        </r>
      </text>
    </comment>
    <comment ref="D144" authorId="0" shapeId="0" xr:uid="{9357CB84-B13B-46C5-9A3A-79E83982061A}">
      <text>
        <r>
          <rPr>
            <b/>
            <sz val="9"/>
            <color indexed="81"/>
            <rFont val="Tahoma"/>
            <family val="2"/>
          </rPr>
          <t>Nathan Butler:</t>
        </r>
        <r>
          <rPr>
            <sz val="9"/>
            <color indexed="81"/>
            <rFont val="Tahoma"/>
            <family val="2"/>
          </rPr>
          <t xml:space="preserve">
We found out that the 2019 submission had been off significantly, and had to refund GEMT</t>
        </r>
      </text>
    </comment>
    <comment ref="E144" authorId="0" shapeId="0" xr:uid="{64175AC5-9AF4-4291-8A96-E43669E0702A}">
      <text>
        <r>
          <rPr>
            <b/>
            <sz val="9"/>
            <color indexed="81"/>
            <rFont val="Tahoma"/>
            <family val="2"/>
          </rPr>
          <t>Nathan Butler:</t>
        </r>
        <r>
          <rPr>
            <sz val="9"/>
            <color indexed="81"/>
            <rFont val="Tahoma"/>
            <family val="2"/>
          </rPr>
          <t xml:space="preserve">
We paid back the 2019 overpay, but owe another $60,000 for 2020 that we have not yet paid. It's possible it will not be assessed until 2022, but likely in 2021</t>
        </r>
      </text>
    </comment>
    <comment ref="F145" authorId="0" shapeId="0" xr:uid="{C2CF1350-BF23-499A-9998-5FB00666B033}">
      <text>
        <r>
          <rPr>
            <b/>
            <sz val="9"/>
            <color indexed="81"/>
            <rFont val="Tahoma"/>
            <family val="2"/>
          </rPr>
          <t>Nathan Butler:</t>
        </r>
        <r>
          <rPr>
            <sz val="9"/>
            <color indexed="81"/>
            <rFont val="Tahoma"/>
            <family val="2"/>
          </rPr>
          <t xml:space="preserve">
these were one-time overpay refunds due to prior admin. We were able to pay them back in 2021. </t>
        </r>
      </text>
    </comment>
    <comment ref="F148" authorId="0" shapeId="0" xr:uid="{C5A4BCBB-5D21-421A-BEEE-0B573D99F43C}">
      <text>
        <r>
          <rPr>
            <b/>
            <sz val="9"/>
            <color indexed="81"/>
            <rFont val="Tahoma"/>
            <charset val="1"/>
          </rPr>
          <t>Nathan Butler:</t>
        </r>
        <r>
          <rPr>
            <sz val="9"/>
            <color indexed="81"/>
            <rFont val="Tahoma"/>
            <charset val="1"/>
          </rPr>
          <t xml:space="preserve">
Fuel is covered elsewhere. This is an old BARS code</t>
        </r>
      </text>
    </comment>
    <comment ref="F150" authorId="0" shapeId="0" xr:uid="{C3D8E973-D120-4B5F-BAE8-9E49A6C3B19A}">
      <text>
        <r>
          <rPr>
            <b/>
            <sz val="9"/>
            <color indexed="81"/>
            <rFont val="Tahoma"/>
            <family val="2"/>
          </rPr>
          <t>Nathan Butler:</t>
        </r>
        <r>
          <rPr>
            <sz val="9"/>
            <color indexed="81"/>
            <rFont val="Tahoma"/>
            <family val="2"/>
          </rPr>
          <t xml:space="preserve">
Moving Lainey's assistant to this BARS code since he is an active EMT.</t>
        </r>
      </text>
    </comment>
    <comment ref="G150" authorId="0" shapeId="0" xr:uid="{E873C050-41C2-4554-BCF4-CE8EB72AD1AA}">
      <text>
        <r>
          <rPr>
            <b/>
            <sz val="9"/>
            <color indexed="81"/>
            <rFont val="Tahoma"/>
            <charset val="1"/>
          </rPr>
          <t>Nathan Butler:</t>
        </r>
        <r>
          <rPr>
            <sz val="9"/>
            <color indexed="81"/>
            <rFont val="Tahoma"/>
            <charset val="1"/>
          </rPr>
          <t xml:space="preserve">
5% raises plus COLA 2-4% first four years (est. 8%), then 3% plus COLA (est 6%)</t>
        </r>
      </text>
    </comment>
    <comment ref="L150" authorId="0" shapeId="0" xr:uid="{37D98906-B777-45F1-A9E4-A7EFA180B484}">
      <text>
        <r>
          <rPr>
            <b/>
            <sz val="9"/>
            <color indexed="81"/>
            <rFont val="Tahoma"/>
            <charset val="1"/>
          </rPr>
          <t>Nathan Butler:</t>
        </r>
        <r>
          <rPr>
            <sz val="9"/>
            <color indexed="81"/>
            <rFont val="Tahoma"/>
            <charset val="1"/>
          </rPr>
          <t xml:space="preserve">
Very close to top of the scale</t>
        </r>
      </text>
    </comment>
    <comment ref="G151" authorId="0" shapeId="0" xr:uid="{C65B0657-95AC-4858-9D15-F1607FAC6FD4}">
      <text>
        <r>
          <rPr>
            <b/>
            <sz val="9"/>
            <color indexed="81"/>
            <rFont val="Tahoma"/>
            <charset val="1"/>
          </rPr>
          <t>Nathan Butler:</t>
        </r>
        <r>
          <rPr>
            <sz val="9"/>
            <color indexed="81"/>
            <rFont val="Tahoma"/>
            <charset val="1"/>
          </rPr>
          <t xml:space="preserve">
This employee has max out the step scale and is due only COLA </t>
        </r>
      </text>
    </comment>
    <comment ref="F155" authorId="0" shapeId="0" xr:uid="{7236290F-5FB9-420D-A415-1CF67A58E38A}">
      <text>
        <r>
          <rPr>
            <b/>
            <sz val="9"/>
            <color indexed="81"/>
            <rFont val="Tahoma"/>
            <family val="2"/>
          </rPr>
          <t>Nathan Butler:
C</t>
        </r>
        <r>
          <rPr>
            <sz val="9"/>
            <color indexed="81"/>
            <rFont val="Tahoma"/>
            <family val="2"/>
          </rPr>
          <t>harge is 8% of wages</t>
        </r>
      </text>
    </comment>
    <comment ref="F156" authorId="0" shapeId="0" xr:uid="{CF296B40-3E69-4CEA-8EDC-683FA4FBEA6D}">
      <text>
        <r>
          <rPr>
            <b/>
            <sz val="9"/>
            <color indexed="81"/>
            <rFont val="Tahoma"/>
            <family val="2"/>
          </rPr>
          <t>Nathan Butler:</t>
        </r>
        <r>
          <rPr>
            <sz val="9"/>
            <color indexed="81"/>
            <rFont val="Tahoma"/>
            <family val="2"/>
          </rPr>
          <t xml:space="preserve">
Historic charge is 1% of wages</t>
        </r>
      </text>
    </comment>
    <comment ref="F157" authorId="0" shapeId="0" xr:uid="{CAE634DA-F9D0-433C-82C0-79874ACD53F2}">
      <text>
        <r>
          <rPr>
            <b/>
            <sz val="9"/>
            <color indexed="81"/>
            <rFont val="Tahoma"/>
            <family val="2"/>
          </rPr>
          <t>Nathan Butler:</t>
        </r>
        <r>
          <rPr>
            <sz val="9"/>
            <color indexed="81"/>
            <rFont val="Tahoma"/>
            <family val="2"/>
          </rPr>
          <t xml:space="preserve">
cost plus 3%</t>
        </r>
      </text>
    </comment>
    <comment ref="F158" authorId="0" shapeId="0" xr:uid="{D73230AB-122A-4D13-A5B5-B716F6C83097}">
      <text>
        <r>
          <rPr>
            <b/>
            <sz val="9"/>
            <color indexed="81"/>
            <rFont val="Tahoma"/>
            <family val="2"/>
          </rPr>
          <t>Nathan Butler:</t>
        </r>
        <r>
          <rPr>
            <sz val="9"/>
            <color indexed="81"/>
            <rFont val="Tahoma"/>
            <family val="2"/>
          </rPr>
          <t xml:space="preserve">
5% of wages </t>
        </r>
      </text>
    </comment>
    <comment ref="F159" authorId="0" shapeId="0" xr:uid="{C7E71C54-9757-4D1B-9AAA-7C71827C0996}">
      <text>
        <r>
          <rPr>
            <b/>
            <sz val="9"/>
            <color indexed="81"/>
            <rFont val="Tahoma"/>
            <family val="2"/>
          </rPr>
          <t>Nathan Butler:</t>
        </r>
        <r>
          <rPr>
            <sz val="9"/>
            <color indexed="81"/>
            <rFont val="Tahoma"/>
            <family val="2"/>
          </rPr>
          <t xml:space="preserve">
Should be close to historic rates when we had two people in outreach, plus 5% </t>
        </r>
      </text>
    </comment>
    <comment ref="F160" authorId="0" shapeId="0" xr:uid="{767337C4-B370-49BE-AC50-8C899DB89A25}">
      <text>
        <r>
          <rPr>
            <b/>
            <sz val="9"/>
            <color indexed="81"/>
            <rFont val="Tahoma"/>
            <family val="2"/>
          </rPr>
          <t>Nathan Butler:</t>
        </r>
        <r>
          <rPr>
            <sz val="9"/>
            <color indexed="81"/>
            <rFont val="Tahoma"/>
            <family val="2"/>
          </rPr>
          <t xml:space="preserve">
$100 per person per month. At some point may wish to increase. </t>
        </r>
      </text>
    </comment>
    <comment ref="F161" authorId="0" shapeId="0" xr:uid="{802D4120-D7ED-46BB-A1FC-7BC50B505078}">
      <text>
        <r>
          <rPr>
            <b/>
            <sz val="9"/>
            <color indexed="81"/>
            <rFont val="Tahoma"/>
            <family val="2"/>
          </rPr>
          <t>Nathan Butler:</t>
        </r>
        <r>
          <rPr>
            <sz val="9"/>
            <color indexed="81"/>
            <rFont val="Tahoma"/>
            <family val="2"/>
          </rPr>
          <t xml:space="preserve">
Historic rate for two, but should be less than previously due to age change </t>
        </r>
      </text>
    </comment>
    <comment ref="G161" authorId="0" shapeId="0" xr:uid="{0FD96DEB-3451-4574-BE18-537F45DC3C9F}">
      <text>
        <r>
          <rPr>
            <b/>
            <sz val="9"/>
            <color indexed="81"/>
            <rFont val="Tahoma"/>
            <charset val="1"/>
          </rPr>
          <t>Nathan Butler:</t>
        </r>
        <r>
          <rPr>
            <sz val="9"/>
            <color indexed="81"/>
            <rFont val="Tahoma"/>
            <charset val="1"/>
          </rPr>
          <t xml:space="preserve">
est 5% increases</t>
        </r>
      </text>
    </comment>
    <comment ref="F162" authorId="0" shapeId="0" xr:uid="{C274EE94-EEB8-4B8A-A3AC-DC1F562163ED}">
      <text>
        <r>
          <rPr>
            <b/>
            <sz val="9"/>
            <color indexed="81"/>
            <rFont val="Tahoma"/>
            <family val="2"/>
          </rPr>
          <t>Nathan Butler:</t>
        </r>
        <r>
          <rPr>
            <sz val="9"/>
            <color indexed="81"/>
            <rFont val="Tahoma"/>
            <family val="2"/>
          </rPr>
          <t xml:space="preserve">
Based on historic rates</t>
        </r>
      </text>
    </comment>
    <comment ref="G162" authorId="0" shapeId="0" xr:uid="{523F35E3-0398-468E-A020-684C3A7B1EAF}">
      <text>
        <r>
          <rPr>
            <b/>
            <sz val="9"/>
            <color indexed="81"/>
            <rFont val="Tahoma"/>
            <charset val="1"/>
          </rPr>
          <t>Nathan Butler:</t>
        </r>
        <r>
          <rPr>
            <sz val="9"/>
            <color indexed="81"/>
            <rFont val="Tahoma"/>
            <charset val="1"/>
          </rPr>
          <t xml:space="preserve">
is .15% wages</t>
        </r>
      </text>
    </comment>
    <comment ref="F164" authorId="0" shapeId="0" xr:uid="{5F2DE85F-31AF-4389-B2EB-35A2B80E79F1}">
      <text>
        <r>
          <rPr>
            <b/>
            <sz val="9"/>
            <color indexed="81"/>
            <rFont val="Tahoma"/>
            <charset val="1"/>
          </rPr>
          <t>Nathan Butler:</t>
        </r>
        <r>
          <rPr>
            <sz val="9"/>
            <color indexed="81"/>
            <rFont val="Tahoma"/>
            <charset val="1"/>
          </rPr>
          <t xml:space="preserve">
based on the number of employees. At some point we may wish to increase this benefit, but it is set by the Board </t>
        </r>
      </text>
    </comment>
    <comment ref="F165" authorId="0" shapeId="0" xr:uid="{FEFBEDFD-A920-44EC-ADBF-04A06B6B582A}">
      <text>
        <r>
          <rPr>
            <b/>
            <sz val="9"/>
            <color indexed="81"/>
            <rFont val="Tahoma"/>
            <family val="2"/>
          </rPr>
          <t>Nathan Butler:</t>
        </r>
        <r>
          <rPr>
            <sz val="9"/>
            <color indexed="81"/>
            <rFont val="Tahoma"/>
            <family val="2"/>
          </rPr>
          <t xml:space="preserve">
cost plus 5%</t>
        </r>
      </text>
    </comment>
    <comment ref="G165" authorId="0" shapeId="0" xr:uid="{985A1E17-2284-4B10-8242-CA66A1AE707D}">
      <text>
        <r>
          <rPr>
            <b/>
            <sz val="9"/>
            <color indexed="81"/>
            <rFont val="Tahoma"/>
            <charset val="1"/>
          </rPr>
          <t>Nathan Butler:</t>
        </r>
        <r>
          <rPr>
            <sz val="9"/>
            <color indexed="81"/>
            <rFont val="Tahoma"/>
            <charset val="1"/>
          </rPr>
          <t xml:space="preserve">
These costs seem to rise slowly based on the past. We anticipate 3% increases rather than 5% </t>
        </r>
      </text>
    </comment>
    <comment ref="G168" authorId="0" shapeId="0" xr:uid="{61205C3C-E1A8-4378-9211-E88F58EF632A}">
      <text>
        <r>
          <rPr>
            <b/>
            <sz val="9"/>
            <color indexed="81"/>
            <rFont val="Tahoma"/>
            <charset val="1"/>
          </rPr>
          <t>Nathan Butler:</t>
        </r>
        <r>
          <rPr>
            <sz val="9"/>
            <color indexed="81"/>
            <rFont val="Tahoma"/>
            <charset val="1"/>
          </rPr>
          <t xml:space="preserve">
We plan to expand outreach programs to pre-covid levels, focusing on community safety (First Aid, CPR, etc.). 
Followed by 5% increases </t>
        </r>
      </text>
    </comment>
    <comment ref="G171" authorId="0" shapeId="0" xr:uid="{DB9F76E1-69B3-4B11-9C0E-1CAFE1D153D5}">
      <text>
        <r>
          <rPr>
            <b/>
            <sz val="9"/>
            <color indexed="81"/>
            <rFont val="Tahoma"/>
            <charset val="1"/>
          </rPr>
          <t>Nathan Butler:</t>
        </r>
        <r>
          <rPr>
            <sz val="9"/>
            <color indexed="81"/>
            <rFont val="Tahoma"/>
            <charset val="1"/>
          </rPr>
          <t xml:space="preserve">
Much of this equipment needs replaced as it tends to be a low priority item. We will replace annually the portion that we can afford. A manikan for CPR est. cost $800. AED trainer $300. Other supplies and items as needed. Should take 4 years to replace all of them. </t>
        </r>
      </text>
    </comment>
    <comment ref="K171" authorId="0" shapeId="0" xr:uid="{3883FB79-EB83-4777-9C04-510958E78CF8}">
      <text>
        <r>
          <rPr>
            <b/>
            <sz val="9"/>
            <color indexed="81"/>
            <rFont val="Tahoma"/>
            <charset val="1"/>
          </rPr>
          <t>Nathan Butler:</t>
        </r>
        <r>
          <rPr>
            <sz val="9"/>
            <color indexed="81"/>
            <rFont val="Tahoma"/>
            <charset val="1"/>
          </rPr>
          <t xml:space="preserve">
Returning to historic costs</t>
        </r>
      </text>
    </comment>
    <comment ref="H174" authorId="0" shapeId="0" xr:uid="{B26E3BD8-0C7E-4C58-BB5B-D0105D54684C}">
      <text>
        <r>
          <rPr>
            <b/>
            <sz val="9"/>
            <color indexed="81"/>
            <rFont val="Tahoma"/>
            <charset val="1"/>
          </rPr>
          <t>Nathan Butler:</t>
        </r>
        <r>
          <rPr>
            <sz val="9"/>
            <color indexed="81"/>
            <rFont val="Tahoma"/>
            <charset val="1"/>
          </rPr>
          <t xml:space="preserve">
This is not an annual expense, it's every 2-3 years. We did it in 2021. </t>
        </r>
      </text>
    </comment>
    <comment ref="E180" authorId="0" shapeId="0" xr:uid="{47BF4F3E-4D58-430C-8130-7EC084CB95E5}">
      <text>
        <r>
          <rPr>
            <b/>
            <sz val="9"/>
            <color indexed="81"/>
            <rFont val="Tahoma"/>
            <family val="2"/>
          </rPr>
          <t>Nathan Butler:</t>
        </r>
        <r>
          <rPr>
            <sz val="9"/>
            <color indexed="81"/>
            <rFont val="Tahoma"/>
            <family val="2"/>
          </rPr>
          <t xml:space="preserve">
We are still hoping to have an EMT class, which we intend to split with Fire </t>
        </r>
      </text>
    </comment>
    <comment ref="F180" authorId="0" shapeId="0" xr:uid="{B246A0AC-3C18-4D73-97E0-E269CB75E91F}">
      <text>
        <r>
          <rPr>
            <b/>
            <sz val="9"/>
            <color indexed="81"/>
            <rFont val="Tahoma"/>
            <family val="2"/>
          </rPr>
          <t>Nathan Butler:</t>
        </r>
        <r>
          <rPr>
            <sz val="9"/>
            <color indexed="81"/>
            <rFont val="Tahoma"/>
            <family val="2"/>
          </rPr>
          <t xml:space="preserve">
we will need a fulll EMT class</t>
        </r>
      </text>
    </comment>
    <comment ref="G180" authorId="0" shapeId="0" xr:uid="{22B9A2E9-F833-46C4-9922-6D657DE50780}">
      <text>
        <r>
          <rPr>
            <b/>
            <sz val="9"/>
            <color indexed="81"/>
            <rFont val="Tahoma"/>
            <charset val="1"/>
          </rPr>
          <t>Nathan Butler:</t>
        </r>
        <r>
          <rPr>
            <sz val="9"/>
            <color indexed="81"/>
            <rFont val="Tahoma"/>
            <charset val="1"/>
          </rPr>
          <t xml:space="preserve">
EMT classes every two years (about $35,000 - $40,000), but we expect to need one two years in a row this time through due to covid.
Additioanlly - we plan on two new training programs: 
(1) a lot more training for staff and volunteers under our new Assistant Chief/Training Officer. Est cost $15,000.  
(2) 3-5 days on the mainland per year per medic for training on advanced skills. Est cost $20,000 (outside of travel, tracked under different BARS) based on rough avg $35/hour for 24 days worth. </t>
        </r>
      </text>
    </comment>
    <comment ref="H180" authorId="0" shapeId="0" xr:uid="{2F448058-52C4-4368-9A74-A8BDEE6AEAB4}">
      <text>
        <r>
          <rPr>
            <b/>
            <sz val="9"/>
            <color indexed="81"/>
            <rFont val="Tahoma"/>
            <charset val="1"/>
          </rPr>
          <t>Nathan Butler:</t>
        </r>
        <r>
          <rPr>
            <sz val="9"/>
            <color indexed="81"/>
            <rFont val="Tahoma"/>
            <charset val="1"/>
          </rPr>
          <t xml:space="preserve">
No EMT classs. Training expense for expanded program. </t>
        </r>
      </text>
    </comment>
    <comment ref="I180" authorId="0" shapeId="0" xr:uid="{44E55CAE-4C43-4049-9E8A-E3E3D6A93EC6}">
      <text>
        <r>
          <rPr>
            <b/>
            <sz val="9"/>
            <color indexed="81"/>
            <rFont val="Tahoma"/>
            <charset val="1"/>
          </rPr>
          <t>Nathan Butler:</t>
        </r>
        <r>
          <rPr>
            <sz val="9"/>
            <color indexed="81"/>
            <rFont val="Tahoma"/>
            <charset val="1"/>
          </rPr>
          <t xml:space="preserve">
est 10% increase in cost since it's wage dependent </t>
        </r>
      </text>
    </comment>
    <comment ref="J180" authorId="0" shapeId="0" xr:uid="{66CFF8BA-AFDF-4E4E-B911-6AD5100767F6}">
      <text>
        <r>
          <rPr>
            <b/>
            <sz val="9"/>
            <color indexed="81"/>
            <rFont val="Tahoma"/>
            <charset val="1"/>
          </rPr>
          <t>Nathan Butler:</t>
        </r>
        <r>
          <rPr>
            <sz val="9"/>
            <color indexed="81"/>
            <rFont val="Tahoma"/>
            <charset val="1"/>
          </rPr>
          <t xml:space="preserve">
No EMT Class. </t>
        </r>
      </text>
    </comment>
    <comment ref="K180" authorId="0" shapeId="0" xr:uid="{661CE73A-3073-4508-8703-27516D9C3C7A}">
      <text>
        <r>
          <rPr>
            <b/>
            <sz val="9"/>
            <color indexed="81"/>
            <rFont val="Tahoma"/>
            <charset val="1"/>
          </rPr>
          <t>Nathan Butler:</t>
        </r>
        <r>
          <rPr>
            <sz val="9"/>
            <color indexed="81"/>
            <rFont val="Tahoma"/>
            <charset val="1"/>
          </rPr>
          <t xml:space="preserve">
Est 10% increase in cost (since it's wage dependent) </t>
        </r>
      </text>
    </comment>
    <comment ref="L180" authorId="0" shapeId="0" xr:uid="{C7E39CD3-EDD7-44D6-A51D-A57093171ACE}">
      <text>
        <r>
          <rPr>
            <b/>
            <sz val="9"/>
            <color indexed="81"/>
            <rFont val="Tahoma"/>
            <charset val="1"/>
          </rPr>
          <t>Nathan Butler:</t>
        </r>
        <r>
          <rPr>
            <sz val="9"/>
            <color indexed="81"/>
            <rFont val="Tahoma"/>
            <charset val="1"/>
          </rPr>
          <t xml:space="preserve">
No EMT class. </t>
        </r>
      </text>
    </comment>
    <comment ref="E183" authorId="0" shapeId="0" xr:uid="{F9E5E49B-FFEE-4096-AF2E-A4C1E953F359}">
      <text>
        <r>
          <rPr>
            <b/>
            <sz val="9"/>
            <color indexed="81"/>
            <rFont val="Tahoma"/>
            <family val="2"/>
          </rPr>
          <t>Nathan Butler:</t>
        </r>
        <r>
          <rPr>
            <sz val="9"/>
            <color indexed="81"/>
            <rFont val="Tahoma"/>
            <family val="2"/>
          </rPr>
          <t xml:space="preserve">
Lower than expected, but we need to do some station upgrades </t>
        </r>
      </text>
    </comment>
    <comment ref="F186" authorId="0" shapeId="0" xr:uid="{9BBDE95B-6A61-482A-A42E-CDABC9423CD3}">
      <text>
        <r>
          <rPr>
            <b/>
            <sz val="9"/>
            <color indexed="81"/>
            <rFont val="Tahoma"/>
            <family val="2"/>
          </rPr>
          <t>Nathan Butler:</t>
        </r>
        <r>
          <rPr>
            <sz val="9"/>
            <color indexed="81"/>
            <rFont val="Tahoma"/>
            <family val="2"/>
          </rPr>
          <t xml:space="preserve">
Work to making living quarters better for higher occupancy (e.g. new beds, fixtures, etc.)</t>
        </r>
      </text>
    </comment>
    <comment ref="G186" authorId="0" shapeId="0" xr:uid="{60A59928-66FB-4006-B258-37BA3904A578}">
      <text>
        <r>
          <rPr>
            <b/>
            <sz val="9"/>
            <color indexed="81"/>
            <rFont val="Tahoma"/>
            <charset val="1"/>
          </rPr>
          <t>Nathan Butler:</t>
        </r>
        <r>
          <rPr>
            <sz val="9"/>
            <color indexed="81"/>
            <rFont val="Tahoma"/>
            <charset val="1"/>
          </rPr>
          <t xml:space="preserve">
As we move into station staffing of the paramedics we expect some further increased expenses before reducing to something closer to historical rates</t>
        </r>
      </text>
    </comment>
    <comment ref="G198" authorId="0" shapeId="0" xr:uid="{B1429759-E4B8-40CE-86BC-F6304DE2E702}">
      <text>
        <r>
          <rPr>
            <b/>
            <sz val="9"/>
            <color indexed="81"/>
            <rFont val="Tahoma"/>
            <family val="2"/>
          </rPr>
          <t>Nathan Butler:</t>
        </r>
        <r>
          <rPr>
            <sz val="9"/>
            <color indexed="81"/>
            <rFont val="Tahoma"/>
            <family val="2"/>
          </rPr>
          <t xml:space="preserve">
2% increases annually for utilities </t>
        </r>
      </text>
    </comment>
    <comment ref="G201" authorId="0" shapeId="0" xr:uid="{7BA43D5A-3E95-45EE-AD42-960A94AC7ECC}">
      <text>
        <r>
          <rPr>
            <b/>
            <sz val="9"/>
            <color indexed="81"/>
            <rFont val="Tahoma"/>
            <family val="2"/>
          </rPr>
          <t>Nathan Butler:</t>
        </r>
        <r>
          <rPr>
            <sz val="9"/>
            <color indexed="81"/>
            <rFont val="Tahoma"/>
            <family val="2"/>
          </rPr>
          <t xml:space="preserve">
3% increases for maintenance costs</t>
        </r>
      </text>
    </comment>
    <comment ref="E203" authorId="0" shapeId="0" xr:uid="{2D186D24-4EE7-4E20-AF24-B3F4F0104ECF}">
      <text>
        <r>
          <rPr>
            <b/>
            <sz val="9"/>
            <color indexed="81"/>
            <rFont val="Tahoma"/>
            <family val="2"/>
          </rPr>
          <t>Nathan Butler:</t>
        </r>
        <r>
          <rPr>
            <sz val="9"/>
            <color indexed="81"/>
            <rFont val="Tahoma"/>
            <family val="2"/>
          </rPr>
          <t xml:space="preserve">
This is the line item for our fleet manager. We had two new rigs ths year to be outfitted  </t>
        </r>
      </text>
    </comment>
    <comment ref="F203" authorId="0" shapeId="0" xr:uid="{98331467-845C-4651-9DE9-AD34A2C4C6E0}">
      <text>
        <r>
          <rPr>
            <b/>
            <sz val="9"/>
            <color indexed="81"/>
            <rFont val="Tahoma"/>
            <family val="2"/>
          </rPr>
          <t>Nathan Butler:</t>
        </r>
        <r>
          <rPr>
            <sz val="9"/>
            <color indexed="81"/>
            <rFont val="Tahoma"/>
            <family val="2"/>
          </rPr>
          <t xml:space="preserve">
We anticipate one new spring rig and/or the installation of new powerloads on the first two ambulances.</t>
        </r>
      </text>
    </comment>
    <comment ref="G203" authorId="0" shapeId="0" xr:uid="{432FFFF2-58BB-49EB-B8AF-3E4A63FB8356}">
      <text>
        <r>
          <rPr>
            <b/>
            <sz val="9"/>
            <color indexed="81"/>
            <rFont val="Tahoma"/>
            <family val="2"/>
          </rPr>
          <t>Nathan Butler:</t>
        </r>
        <r>
          <rPr>
            <sz val="9"/>
            <color indexed="81"/>
            <rFont val="Tahoma"/>
            <family val="2"/>
          </rPr>
          <t xml:space="preserve">
Replacing the white community paramedicine rig. This is the fleet mechanics time, as well as all other maintenence. </t>
        </r>
      </text>
    </comment>
    <comment ref="H203" authorId="0" shapeId="0" xr:uid="{B8256700-BA34-4A26-9F88-184216992B79}">
      <text>
        <r>
          <rPr>
            <b/>
            <sz val="9"/>
            <color indexed="81"/>
            <rFont val="Tahoma"/>
            <family val="2"/>
          </rPr>
          <t>Nathan Butler:</t>
        </r>
        <r>
          <rPr>
            <sz val="9"/>
            <color indexed="81"/>
            <rFont val="Tahoma"/>
            <family val="2"/>
          </rPr>
          <t xml:space="preserve">
New ambulance year! As all other maintenance. This is the fleet mechanics time. </t>
        </r>
      </text>
    </comment>
    <comment ref="I203" authorId="0" shapeId="0" xr:uid="{22AA35B4-7200-4179-AB59-2D3963AC74D3}">
      <text>
        <r>
          <rPr>
            <b/>
            <sz val="9"/>
            <color indexed="81"/>
            <rFont val="Tahoma"/>
            <family val="2"/>
          </rPr>
          <t>Nathan Butler:</t>
        </r>
        <r>
          <rPr>
            <sz val="9"/>
            <color indexed="81"/>
            <rFont val="Tahoma"/>
            <family val="2"/>
          </rPr>
          <t xml:space="preserve">
Replacing a sprint rig as well as all other maintenence. This is the fleet mechanics time. </t>
        </r>
      </text>
    </comment>
    <comment ref="J203" authorId="0" shapeId="0" xr:uid="{352E137C-2404-4CDC-B786-AE9A1C9F4ABA}">
      <text>
        <r>
          <rPr>
            <b/>
            <sz val="9"/>
            <color indexed="81"/>
            <rFont val="Tahoma"/>
            <family val="2"/>
          </rPr>
          <t>Nathan Butler:</t>
        </r>
        <r>
          <rPr>
            <sz val="9"/>
            <color indexed="81"/>
            <rFont val="Tahoma"/>
            <family val="2"/>
          </rPr>
          <t xml:space="preserve">
Further vehicle replacement expected (but extends outside of current capital improvmenet planning) </t>
        </r>
      </text>
    </comment>
    <comment ref="F209" authorId="0" shapeId="0" xr:uid="{9E8BC4CD-57C5-4B0A-9F5E-6D8F7E1708AC}">
      <text>
        <r>
          <rPr>
            <b/>
            <sz val="9"/>
            <color indexed="81"/>
            <rFont val="Tahoma"/>
            <charset val="1"/>
          </rPr>
          <t>Nathan Butler:</t>
        </r>
        <r>
          <rPr>
            <sz val="9"/>
            <color indexed="81"/>
            <rFont val="Tahoma"/>
            <charset val="1"/>
          </rPr>
          <t xml:space="preserve">
Need new mobiles for the three ambulances (VHF only)</t>
        </r>
      </text>
    </comment>
    <comment ref="G209" authorId="0" shapeId="0" xr:uid="{391863E1-81C0-47A2-9F5A-4D616D1BA903}">
      <text>
        <r>
          <rPr>
            <b/>
            <sz val="9"/>
            <color indexed="81"/>
            <rFont val="Tahoma"/>
            <family val="2"/>
          </rPr>
          <t>Nathan Butler:</t>
        </r>
        <r>
          <rPr>
            <sz val="9"/>
            <color indexed="81"/>
            <rFont val="Tahoma"/>
            <family val="2"/>
          </rPr>
          <t xml:space="preserve">
One new sprint rig will need new radios. Will install dual VHF/UHF as two heads is not necessary (unlike with ambulances)</t>
        </r>
      </text>
    </comment>
    <comment ref="H209" authorId="0" shapeId="0" xr:uid="{522BFEBE-7828-4B78-9BC7-F85D38D5B576}">
      <text>
        <r>
          <rPr>
            <b/>
            <sz val="9"/>
            <color indexed="81"/>
            <rFont val="Tahoma"/>
            <family val="2"/>
          </rPr>
          <t>Nathan Butler:</t>
        </r>
        <r>
          <rPr>
            <sz val="9"/>
            <color indexed="81"/>
            <rFont val="Tahoma"/>
            <family val="2"/>
          </rPr>
          <t xml:space="preserve">
New ambulance can use the VHF radios we installed in 2022, but we should replace the UHF at this point. Will need antennae and such, calculating in some cost increase</t>
        </r>
      </text>
    </comment>
    <comment ref="I209" authorId="0" shapeId="0" xr:uid="{60D77726-BD36-4E5C-9D28-E61030C9D49A}">
      <text>
        <r>
          <rPr>
            <b/>
            <sz val="9"/>
            <color indexed="81"/>
            <rFont val="Tahoma"/>
            <family val="2"/>
          </rPr>
          <t>Nathan Butler:</t>
        </r>
        <r>
          <rPr>
            <sz val="9"/>
            <color indexed="81"/>
            <rFont val="Tahoma"/>
            <family val="2"/>
          </rPr>
          <t xml:space="preserve">
New sprint rig will use a combined UHF and VHF radio, around $6,000 total in 2021, plus antennae, and cost increases expected. </t>
        </r>
      </text>
    </comment>
    <comment ref="J209" authorId="0" shapeId="0" xr:uid="{6FE23976-89B9-466C-8696-49D4FB75B1FB}">
      <text>
        <r>
          <rPr>
            <b/>
            <sz val="9"/>
            <color indexed="81"/>
            <rFont val="Tahoma"/>
            <family val="2"/>
          </rPr>
          <t>Nathan Butler:</t>
        </r>
        <r>
          <rPr>
            <sz val="9"/>
            <color indexed="81"/>
            <rFont val="Tahoma"/>
            <family val="2"/>
          </rPr>
          <t xml:space="preserve">
2026 - 2028 numbers are placeholders based on est averages. We will update capital improvement plan in 2022, which currently goes through 2025. </t>
        </r>
      </text>
    </comment>
    <comment ref="G210" authorId="0" shapeId="0" xr:uid="{54818AAD-E301-4098-9E8F-130A4E394E4F}">
      <text>
        <r>
          <rPr>
            <b/>
            <sz val="9"/>
            <color indexed="81"/>
            <rFont val="Tahoma"/>
            <family val="2"/>
          </rPr>
          <t>Nathan Butler:</t>
        </r>
        <r>
          <rPr>
            <sz val="9"/>
            <color indexed="81"/>
            <rFont val="Tahoma"/>
            <family val="2"/>
          </rPr>
          <t xml:space="preserve">
This BARS code is little used. Most medical equipment is removable. </t>
        </r>
      </text>
    </comment>
    <comment ref="G211" authorId="0" shapeId="0" xr:uid="{04EC23CB-F02B-4BA0-A667-4050DF605C01}">
      <text>
        <r>
          <rPr>
            <b/>
            <sz val="9"/>
            <color indexed="81"/>
            <rFont val="Tahoma"/>
            <family val="2"/>
          </rPr>
          <t>Nathan Butler:</t>
        </r>
        <r>
          <rPr>
            <sz val="9"/>
            <color indexed="81"/>
            <rFont val="Tahoma"/>
            <family val="2"/>
          </rPr>
          <t xml:space="preserve">
We've moved most to "Vehicle Repairs" 60.35.0005</t>
        </r>
      </text>
    </comment>
    <comment ref="G212" authorId="0" shapeId="0" xr:uid="{8B56130A-995A-401E-A707-AE8AA8839F32}">
      <text>
        <r>
          <rPr>
            <b/>
            <sz val="9"/>
            <color indexed="81"/>
            <rFont val="Tahoma"/>
            <family val="2"/>
          </rPr>
          <t>Nathan Butler:</t>
        </r>
        <r>
          <rPr>
            <sz val="9"/>
            <color indexed="81"/>
            <rFont val="Tahoma"/>
            <family val="2"/>
          </rPr>
          <t xml:space="preserve">
Placeholder. </t>
        </r>
      </text>
    </comment>
    <comment ref="G218" authorId="0" shapeId="0" xr:uid="{B8949BD1-037C-427B-8DE0-BB2078DF6307}">
      <text>
        <r>
          <rPr>
            <b/>
            <sz val="9"/>
            <color indexed="81"/>
            <rFont val="Tahoma"/>
            <family val="2"/>
          </rPr>
          <t>Nathan Butler:</t>
        </r>
        <r>
          <rPr>
            <sz val="9"/>
            <color indexed="81"/>
            <rFont val="Tahoma"/>
            <family val="2"/>
          </rPr>
          <t xml:space="preserve">
We only pay in-district. These costs are hard to estimate, but are aroudn $400 per transport. We have about a dozen in-district outer island calls per year. </t>
        </r>
      </text>
    </comment>
    <comment ref="E225" authorId="0" shapeId="0" xr:uid="{C9D5DC1F-C796-4D1F-AA43-7FB30D128D1E}">
      <text>
        <r>
          <rPr>
            <b/>
            <sz val="9"/>
            <color indexed="81"/>
            <rFont val="Tahoma"/>
            <family val="2"/>
          </rPr>
          <t>Nathan Butler:</t>
        </r>
        <r>
          <rPr>
            <sz val="9"/>
            <color indexed="81"/>
            <rFont val="Tahoma"/>
            <family val="2"/>
          </rPr>
          <t xml:space="preserve">
Paying off the EMS Bond occurred in May 2021, as well as 5 months of regular payments. We used the General Fund for this, leaving the reserve for vehicles. </t>
        </r>
      </text>
    </comment>
    <comment ref="G235" authorId="0" shapeId="0" xr:uid="{4EC0792E-7DA6-446A-B127-DAC607E6A84B}">
      <text>
        <r>
          <rPr>
            <b/>
            <sz val="9"/>
            <color indexed="81"/>
            <rFont val="Tahoma"/>
            <family val="2"/>
          </rPr>
          <t>Nathan Butler:</t>
        </r>
        <r>
          <rPr>
            <sz val="9"/>
            <color indexed="81"/>
            <rFont val="Tahoma"/>
            <family val="2"/>
          </rPr>
          <t xml:space="preserve">
We plan on doing some work on the land and facility over five years, which will likely be a small bond (e.g. through the LOCAL Program). However, for clarity we are showing it on this line item to demostrate what the work is. </t>
        </r>
      </text>
    </comment>
    <comment ref="G236" authorId="0" shapeId="0" xr:uid="{C568BA9E-3240-402E-96BB-80FC7134762A}">
      <text>
        <r>
          <rPr>
            <b/>
            <sz val="9"/>
            <color indexed="81"/>
            <rFont val="Tahoma"/>
            <family val="2"/>
          </rPr>
          <t>Nathan Butler:</t>
        </r>
        <r>
          <rPr>
            <sz val="9"/>
            <color indexed="81"/>
            <rFont val="Tahoma"/>
            <family val="2"/>
          </rPr>
          <t xml:space="preserve">
We plan on doing some work on the land and facility over five years, which will likely be a small bond (e.g. through the LOCAL Program). However, for clarity we are showing it on this line item to demostrate what the work is. </t>
        </r>
      </text>
    </comment>
    <comment ref="F238" authorId="0" shapeId="0" xr:uid="{6ED7D99F-9711-4D36-8E8C-103110A3391E}">
      <text>
        <r>
          <rPr>
            <b/>
            <sz val="9"/>
            <color indexed="81"/>
            <rFont val="Tahoma"/>
            <family val="2"/>
          </rPr>
          <t>Nathan Butler:</t>
        </r>
        <r>
          <rPr>
            <sz val="9"/>
            <color indexed="81"/>
            <rFont val="Tahoma"/>
            <family val="2"/>
          </rPr>
          <t xml:space="preserve">
Past admin used 522.20.35.0002 for capital asset EMS equipment. </t>
        </r>
      </text>
    </comment>
    <comment ref="F239" authorId="0" shapeId="0" xr:uid="{8F8AB7C2-AA78-427C-BC43-62153E9B410A}">
      <text>
        <r>
          <rPr>
            <b/>
            <sz val="9"/>
            <color indexed="81"/>
            <rFont val="Tahoma"/>
            <family val="2"/>
          </rPr>
          <t>Nathan Butler:</t>
        </r>
        <r>
          <rPr>
            <sz val="9"/>
            <color indexed="81"/>
            <rFont val="Tahoma"/>
            <family val="2"/>
          </rPr>
          <t xml:space="preserve">
We use the reserve fund for this</t>
        </r>
      </text>
    </comment>
    <comment ref="F242" authorId="0" shapeId="0" xr:uid="{AC66773E-19C8-48B9-B4B0-CBB7752FAC51}">
      <text>
        <r>
          <rPr>
            <b/>
            <sz val="9"/>
            <color indexed="81"/>
            <rFont val="Tahoma"/>
            <family val="2"/>
          </rPr>
          <t>Nathan Butler:</t>
        </r>
        <r>
          <rPr>
            <sz val="9"/>
            <color indexed="81"/>
            <rFont val="Tahoma"/>
            <family val="2"/>
          </rPr>
          <t xml:space="preserve">
Ambulance purchase and sprint rig cost $20,000 less than expected, therefore, depositing (in 2022 only) that amount less. The savings will be spent on building and land improvements.
This amount of $109,000 based on Capital Improvement Plan calls for (Res 20-532) </t>
        </r>
      </text>
    </comment>
    <comment ref="J242" authorId="0" shapeId="0" xr:uid="{99D1244D-C959-4988-89FA-B8327A9989F6}">
      <text>
        <r>
          <rPr>
            <b/>
            <sz val="9"/>
            <color indexed="81"/>
            <rFont val="Tahoma"/>
            <family val="2"/>
          </rPr>
          <t>Nathan Butler:</t>
        </r>
        <r>
          <rPr>
            <sz val="9"/>
            <color indexed="81"/>
            <rFont val="Tahoma"/>
            <family val="2"/>
          </rPr>
          <t xml:space="preserve">
Current capital improvement plan goes through 2025. 2026 - 2028 are placeholders, but we expect that once we have caught up on fleet needs we will not have to save quite as much</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Nathan Butler</author>
  </authors>
  <commentList>
    <comment ref="F13" authorId="0" shapeId="0" xr:uid="{D39D38B0-60D2-42EB-B7ED-4E29F486BA03}">
      <text>
        <r>
          <rPr>
            <b/>
            <sz val="9"/>
            <color indexed="81"/>
            <rFont val="Tahoma"/>
            <family val="2"/>
          </rPr>
          <t>Nathan Butler:</t>
        </r>
        <r>
          <rPr>
            <sz val="9"/>
            <color indexed="81"/>
            <rFont val="Tahoma"/>
            <family val="2"/>
          </rPr>
          <t xml:space="preserve">
New Sprint Rig. </t>
        </r>
      </text>
    </comment>
    <comment ref="G13" authorId="0" shapeId="0" xr:uid="{C84EDBD9-B13D-46AF-B1E9-6EC50A59AB2E}">
      <text>
        <r>
          <rPr>
            <b/>
            <sz val="9"/>
            <color indexed="81"/>
            <rFont val="Tahoma"/>
            <family val="2"/>
          </rPr>
          <t>Nathan Butler:</t>
        </r>
        <r>
          <rPr>
            <sz val="9"/>
            <color indexed="81"/>
            <rFont val="Tahoma"/>
            <family val="2"/>
          </rPr>
          <t xml:space="preserve">
New ambulance</t>
        </r>
      </text>
    </comment>
    <comment ref="H13" authorId="0" shapeId="0" xr:uid="{4812A015-A8A2-44C1-9D80-6AF811068DF4}">
      <text>
        <r>
          <rPr>
            <b/>
            <sz val="9"/>
            <color indexed="81"/>
            <rFont val="Tahoma"/>
            <family val="2"/>
          </rPr>
          <t>Nathan Butler:</t>
        </r>
        <r>
          <rPr>
            <sz val="9"/>
            <color indexed="81"/>
            <rFont val="Tahoma"/>
            <family val="2"/>
          </rPr>
          <t xml:space="preserve">
New Sprint Rig. </t>
        </r>
      </text>
    </comment>
    <comment ref="I13" authorId="0" shapeId="0" xr:uid="{223689B0-029A-4F82-940C-50FE79182366}">
      <text>
        <r>
          <rPr>
            <b/>
            <sz val="9"/>
            <color indexed="81"/>
            <rFont val="Tahoma"/>
            <family val="2"/>
          </rPr>
          <t>Nathan Butler:</t>
        </r>
        <r>
          <rPr>
            <sz val="9"/>
            <color indexed="81"/>
            <rFont val="Tahoma"/>
            <family val="2"/>
          </rPr>
          <t xml:space="preserve">
Fleet should be fairly up to date by this point. Our oldest ambulance will be 2017. Sprint Rigs should all be up to date (though they will mostly be command / community paramedicine rigs with the medics in the station). 
Capital needs are likely to be more building related (which we did not budget for the reserve fund, instead are under capital improvement BARS codes on the general fund budget). Saving should be key with so many rigs dated close to each other. </t>
        </r>
      </text>
    </comment>
    <comment ref="G15" authorId="0" shapeId="0" xr:uid="{45F48468-C52B-41B1-BF2C-A918925DCE42}">
      <text>
        <r>
          <rPr>
            <b/>
            <sz val="9"/>
            <color indexed="81"/>
            <rFont val="Tahoma"/>
            <family val="2"/>
          </rPr>
          <t>Nathan Butler:</t>
        </r>
        <r>
          <rPr>
            <sz val="9"/>
            <color indexed="81"/>
            <rFont val="Tahoma"/>
            <family val="2"/>
          </rPr>
          <t xml:space="preserve">
Note that this year we basically are cleaned out after buying the ambulance - but by planning ahead does not throw the general fund into disarray </t>
        </r>
      </text>
    </comment>
  </commentList>
</comments>
</file>

<file path=xl/sharedStrings.xml><?xml version="1.0" encoding="utf-8"?>
<sst xmlns="http://schemas.openxmlformats.org/spreadsheetml/2006/main" count="845" uniqueCount="559">
  <si>
    <t>San Juan Island Fire &amp; Rescue</t>
  </si>
  <si>
    <t>Description</t>
  </si>
  <si>
    <t>Actual
CY 2017</t>
  </si>
  <si>
    <t>Actual
CY 2018</t>
  </si>
  <si>
    <t>Beginning Fund Balance</t>
  </si>
  <si>
    <t>Resources</t>
  </si>
  <si>
    <t>Interest</t>
  </si>
  <si>
    <t>Total Requirements</t>
  </si>
  <si>
    <t>Balance Check</t>
  </si>
  <si>
    <t>Beginning Capital Reserves</t>
  </si>
  <si>
    <t>Total Resources</t>
  </si>
  <si>
    <t>CY-2020 Budget Preparation Worksheets - GO Bond</t>
  </si>
  <si>
    <t>Actual
FY 2017</t>
  </si>
  <si>
    <t>Actual
FY 2018</t>
  </si>
  <si>
    <t>Budget
FY 2019</t>
  </si>
  <si>
    <t>Projected
FY 2019</t>
  </si>
  <si>
    <t>Proposed
FY 2020</t>
  </si>
  <si>
    <t>Approved
FY 2020</t>
  </si>
  <si>
    <t>Adopted
FY 2020</t>
  </si>
  <si>
    <t>Bond Summary/Overview</t>
  </si>
  <si>
    <t>Tax Revenue - Current Year</t>
  </si>
  <si>
    <t>Tax Revenue - Past Years</t>
  </si>
  <si>
    <t>Other (transfers in from GF, etc.)</t>
  </si>
  <si>
    <t>Total GOBond Revenues</t>
  </si>
  <si>
    <t>Liabilities/Payments</t>
  </si>
  <si>
    <t>Debt Payment - Principal</t>
  </si>
  <si>
    <t>Debt Payment - Interest</t>
  </si>
  <si>
    <t>Other (transfers out to GF, etc.)</t>
  </si>
  <si>
    <t>Total GOBond Liabilities</t>
  </si>
  <si>
    <t>Unappropriated Fund Balance</t>
  </si>
  <si>
    <t>Donations</t>
  </si>
  <si>
    <t>Transfers In</t>
  </si>
  <si>
    <t>Resources - General Obligation Bond Fund</t>
  </si>
  <si>
    <t>BARS Code</t>
  </si>
  <si>
    <t>Items Requests</t>
  </si>
  <si>
    <t>Justification</t>
  </si>
  <si>
    <t>CY2020
Requested
Budget</t>
  </si>
  <si>
    <t>Personnel Services - Expenditures</t>
  </si>
  <si>
    <t>Telephone</t>
  </si>
  <si>
    <t>Postage</t>
  </si>
  <si>
    <t>Office Supplies</t>
  </si>
  <si>
    <t>Dispatch services</t>
  </si>
  <si>
    <t>Elections</t>
  </si>
  <si>
    <t>Dues/Memberships</t>
  </si>
  <si>
    <t>Awards</t>
  </si>
  <si>
    <t>Legal Services</t>
  </si>
  <si>
    <t>Uniforms</t>
  </si>
  <si>
    <t>Station Supplies</t>
  </si>
  <si>
    <t>Electrical</t>
  </si>
  <si>
    <t>Water</t>
  </si>
  <si>
    <t>Garbage</t>
  </si>
  <si>
    <t>Acct</t>
  </si>
  <si>
    <t>Facilities Capital Projects</t>
  </si>
  <si>
    <t>Maintenance Facility Annex</t>
  </si>
  <si>
    <t>Overcrowded operations, inadequate maintenance facilities</t>
  </si>
  <si>
    <t>Total</t>
  </si>
  <si>
    <t>Facilities Special Expenses</t>
  </si>
  <si>
    <t>6561.00.522.20.31.0001</t>
  </si>
  <si>
    <t>average trending</t>
  </si>
  <si>
    <t>6561.00.522.20.31.0002</t>
  </si>
  <si>
    <t>SCBA</t>
  </si>
  <si>
    <t xml:space="preserve">PPE </t>
  </si>
  <si>
    <t>increase replacment of worn out PPE</t>
  </si>
  <si>
    <t>6561.00.522.20.31.0003</t>
  </si>
  <si>
    <t>Firefighter Supplies</t>
  </si>
  <si>
    <t>6561.00.522.20.31.0004</t>
  </si>
  <si>
    <t>Fireline/training Food</t>
  </si>
  <si>
    <t>6561.00.522.20.31.0005</t>
  </si>
  <si>
    <t>6561.00.522.20.32.0001</t>
  </si>
  <si>
    <t>Fuel</t>
  </si>
  <si>
    <t>6561.00.522.20.35.0000</t>
  </si>
  <si>
    <t>Fire Minor Tools and Equipment</t>
  </si>
  <si>
    <t xml:space="preserve">reoccurring average </t>
  </si>
  <si>
    <t>6561.00.522.50.31.0001</t>
  </si>
  <si>
    <t>Motor Vehicle Parts</t>
  </si>
  <si>
    <t>6561.00.522.50.32.0001</t>
  </si>
  <si>
    <t>Propane</t>
  </si>
  <si>
    <t>reoccurring average trending</t>
  </si>
  <si>
    <t>6561.00.522.50.35.0001</t>
  </si>
  <si>
    <t>Small Tools</t>
  </si>
  <si>
    <t>6561.00.522.50.47.0001</t>
  </si>
  <si>
    <t>Electricity</t>
  </si>
  <si>
    <t>reoccurring and trending up</t>
  </si>
  <si>
    <t>6561.00.522.50.47.0002</t>
  </si>
  <si>
    <t>6561.00.522.50.47.0003</t>
  </si>
  <si>
    <t>6561.00.522.50.47.0004</t>
  </si>
  <si>
    <t>Alarm Systems</t>
  </si>
  <si>
    <t>6561.00.522.50.48.0001</t>
  </si>
  <si>
    <t>Mechanical Services</t>
  </si>
  <si>
    <t>6561.00.522.50.48.0002</t>
  </si>
  <si>
    <t>Fire Equipment Repairs</t>
  </si>
  <si>
    <t>reoccurring average</t>
  </si>
  <si>
    <t>6561.00.522.50.48.0003</t>
  </si>
  <si>
    <t>SCBA Repair</t>
  </si>
  <si>
    <t xml:space="preserve">PPE Repair </t>
  </si>
  <si>
    <t>maintain and repair of PPE</t>
  </si>
  <si>
    <t xml:space="preserve"> </t>
  </si>
  <si>
    <t>6561.00.522.50.48.0004</t>
  </si>
  <si>
    <t>Radio Repair</t>
  </si>
  <si>
    <t>6561.00.522.50.48.0005</t>
  </si>
  <si>
    <t>Facility Maintenance</t>
  </si>
  <si>
    <t>6561.00.594.22.64.0004</t>
  </si>
  <si>
    <t>Firefighter Equipment</t>
  </si>
  <si>
    <t>6561.00.594.22.64.0006</t>
  </si>
  <si>
    <t>Communications Equipment</t>
  </si>
  <si>
    <t>6561.00.594.22.64.0007</t>
  </si>
  <si>
    <t>Capital Equipment</t>
  </si>
  <si>
    <t>Fleet Capital Projects</t>
  </si>
  <si>
    <t>Truck and Rescue reconfiguration</t>
  </si>
  <si>
    <t>Inadequate storage systems and need for improved efficiencies/effective deployment of resources.  Outfit Quint as a truck (ventilation, search &amp; rescue, RIC, fireground support).  Outfit rescue as special ops, auxiliary, personnel support, logistical support, catch-all.  Labor is accomplished in-house.  Storage solutions predominant cost.</t>
  </si>
  <si>
    <t>$10,000 placeholder</t>
  </si>
  <si>
    <t>Fleet Special Expenses</t>
  </si>
  <si>
    <t>Operations Capital Projects</t>
  </si>
  <si>
    <t>Remodel Headquarters</t>
  </si>
  <si>
    <t>Operations Special Expenses</t>
  </si>
  <si>
    <t>Firefighter Wages</t>
  </si>
  <si>
    <t>Adjustments result in decreased budget: History of overbudgeted line, HIP and Duty Officer wage policy adjustments, omit recruit academy</t>
  </si>
  <si>
    <t>Actual
CY 2019</t>
  </si>
  <si>
    <t>Ambulance / Aid Car</t>
  </si>
  <si>
    <t>Tax Revenue - 6 yr. renewal</t>
  </si>
  <si>
    <t>Program Fees</t>
  </si>
  <si>
    <t>Ground Emergency Med Transport (GEMT)</t>
  </si>
  <si>
    <t>Fed Indirect Reimbursement NSACH</t>
  </si>
  <si>
    <t>Dept. of Health Trauma Grant (Fire)</t>
  </si>
  <si>
    <t>DNR PILT NAP / NRCA</t>
  </si>
  <si>
    <t>Misc. Revenues</t>
  </si>
  <si>
    <t xml:space="preserve">IIMC Reimbursements - PHD payroll </t>
  </si>
  <si>
    <t>Operations-paramedics</t>
  </si>
  <si>
    <t>Operations-career EMTs</t>
  </si>
  <si>
    <t>Operations-volunteer stipends</t>
  </si>
  <si>
    <t>Administration-PHD Superintendent</t>
  </si>
  <si>
    <t>Administration-Exec.Asst.PHD</t>
  </si>
  <si>
    <t>Outreach-Coordinator</t>
  </si>
  <si>
    <t>Outreach-Admin.Asst.</t>
  </si>
  <si>
    <t>Outreach-EMT/Instructor</t>
  </si>
  <si>
    <t>FICA - Admin</t>
  </si>
  <si>
    <t>FICA - Ops</t>
  </si>
  <si>
    <t>FICA - Outreach</t>
  </si>
  <si>
    <t>L&amp;I - Admin</t>
  </si>
  <si>
    <t>L&amp;I - Ops</t>
  </si>
  <si>
    <t>L&amp;I - Outreach</t>
  </si>
  <si>
    <t>PFML - Ops</t>
  </si>
  <si>
    <t>PFML - Outreach</t>
  </si>
  <si>
    <t>Retirement LEOFF - Admin</t>
  </si>
  <si>
    <t>Retirment PERS - Admin</t>
  </si>
  <si>
    <t>Unemployment Ins.</t>
  </si>
  <si>
    <t>Deferred Comp - Admin</t>
  </si>
  <si>
    <t>Medical Insurance - Admin</t>
  </si>
  <si>
    <t>Life Insurance - Admin</t>
  </si>
  <si>
    <t>Dental Insurance - Admin</t>
  </si>
  <si>
    <t>Health Reimbursement Acct</t>
  </si>
  <si>
    <t>Retirement LEOFF - Ops</t>
  </si>
  <si>
    <t>Deferred Comp - Ops</t>
  </si>
  <si>
    <t>Medical Insurance - Ops</t>
  </si>
  <si>
    <t>Life Insurance - Ops</t>
  </si>
  <si>
    <t>Dental Insurance - Ops</t>
  </si>
  <si>
    <t>Retirement PERS - Outreach</t>
  </si>
  <si>
    <t>Retirement LEOFF - Outreach</t>
  </si>
  <si>
    <t>Deferred Comp - Outreach</t>
  </si>
  <si>
    <t>Medical Insurance - Outreach</t>
  </si>
  <si>
    <t>Life Insurance - Outreach</t>
  </si>
  <si>
    <t>Dental Insurance - Outreach</t>
  </si>
  <si>
    <t>Mobile Cell Service</t>
  </si>
  <si>
    <t>Software</t>
  </si>
  <si>
    <t>Office Equipment</t>
  </si>
  <si>
    <t>Advertising</t>
  </si>
  <si>
    <t>Accounting services</t>
  </si>
  <si>
    <t>Data / Internet</t>
  </si>
  <si>
    <t>Meals / per diem for education / conferences</t>
  </si>
  <si>
    <t>Transportation - Mileage / airfare</t>
  </si>
  <si>
    <t>Tuition - registration fees</t>
  </si>
  <si>
    <t>Lodging</t>
  </si>
  <si>
    <t>Excess liability</t>
  </si>
  <si>
    <t>State Auditor Admin Services</t>
  </si>
  <si>
    <t>County Admin Services</t>
  </si>
  <si>
    <t>Criminal background checks</t>
  </si>
  <si>
    <t>Computers - Comms equip</t>
  </si>
  <si>
    <t>Other Professional</t>
  </si>
  <si>
    <t>EMS transport billing services</t>
  </si>
  <si>
    <t>Laundry Services</t>
  </si>
  <si>
    <t>Medical Equipment</t>
  </si>
  <si>
    <t>Medical Supplies</t>
  </si>
  <si>
    <t>Medications / Pharmacology</t>
  </si>
  <si>
    <t>Vehicle repairs</t>
  </si>
  <si>
    <t>OTEP, local training, new EMT class, Wilderness module</t>
  </si>
  <si>
    <t>Marine / boat fees</t>
  </si>
  <si>
    <t>SOLO Wilderness classes</t>
  </si>
  <si>
    <t>Station supplies</t>
  </si>
  <si>
    <t>Station equipment</t>
  </si>
  <si>
    <t>Water / Sewer</t>
  </si>
  <si>
    <t>Resources - Reserve Fund 6512</t>
  </si>
  <si>
    <t>Uniform allowance - Admin</t>
  </si>
  <si>
    <t>Uniform allowance - Ops</t>
  </si>
  <si>
    <t>Employee Immunizations</t>
  </si>
  <si>
    <t>GEMT</t>
  </si>
  <si>
    <t xml:space="preserve">Administrator Severence </t>
  </si>
  <si>
    <t xml:space="preserve">Fuel and Oil </t>
  </si>
  <si>
    <t>Supervising Physician</t>
  </si>
  <si>
    <t xml:space="preserve">Station Repairs &amp; Maint </t>
  </si>
  <si>
    <t xml:space="preserve">Software - Operations </t>
  </si>
  <si>
    <t xml:space="preserve">Contract Services </t>
  </si>
  <si>
    <t xml:space="preserve">EMS Equipment Maint/Repair </t>
  </si>
  <si>
    <t>PFML Paid Family Leave - Admin</t>
  </si>
  <si>
    <t xml:space="preserve">Admin Med Flight </t>
  </si>
  <si>
    <t>Operations-officer stipends</t>
  </si>
  <si>
    <t>Employee &amp; Volunteer Accident &amp; sickness policy</t>
  </si>
  <si>
    <t>Sale of Fixed assets</t>
  </si>
  <si>
    <t>COVID Grant from US HHS</t>
  </si>
  <si>
    <t>522.10.31.0006</t>
  </si>
  <si>
    <t>522.10.31.0001</t>
  </si>
  <si>
    <t>522.10.35.0001</t>
  </si>
  <si>
    <t>522.10.41.0001</t>
  </si>
  <si>
    <t>522.10.41.0002</t>
  </si>
  <si>
    <t>522.10.41.0003</t>
  </si>
  <si>
    <t>522.10.41.0004</t>
  </si>
  <si>
    <t>522.10.41.0007</t>
  </si>
  <si>
    <t>522.10.42.0001</t>
  </si>
  <si>
    <t>522.10.42.0002</t>
  </si>
  <si>
    <t>522.10.42.0003</t>
  </si>
  <si>
    <t>522.10.42.0004</t>
  </si>
  <si>
    <t>522.10.43.0001</t>
  </si>
  <si>
    <t>522.10.43.0002</t>
  </si>
  <si>
    <t>522.10.43.0003</t>
  </si>
  <si>
    <t>522.10.46.0001</t>
  </si>
  <si>
    <t>522.10.46.0005</t>
  </si>
  <si>
    <t>522.10.49.0001</t>
  </si>
  <si>
    <t>522.10.49.0008</t>
  </si>
  <si>
    <t>522.20.31.0002</t>
  </si>
  <si>
    <t>522.20.31.0005</t>
  </si>
  <si>
    <t>522.20.31.0006</t>
  </si>
  <si>
    <t>522.20.32.0001</t>
  </si>
  <si>
    <t>522.20.35.0002</t>
  </si>
  <si>
    <t>522.20.35.0003</t>
  </si>
  <si>
    <t>522.20.35.0004</t>
  </si>
  <si>
    <t>522.20.41.0000</t>
  </si>
  <si>
    <t>522.20.41.0001</t>
  </si>
  <si>
    <t>522.20.41.0003</t>
  </si>
  <si>
    <t>522.20.41.0004</t>
  </si>
  <si>
    <t>522.20.41.0005</t>
  </si>
  <si>
    <t>522.20.41.0006</t>
  </si>
  <si>
    <t>522.20.41.0007</t>
  </si>
  <si>
    <t>522.20.41.0008</t>
  </si>
  <si>
    <t>522.20.43.0004</t>
  </si>
  <si>
    <t>522.20.43.0005</t>
  </si>
  <si>
    <t>522.20.43.0006</t>
  </si>
  <si>
    <t>522.20.46.0003</t>
  </si>
  <si>
    <t>522.20.46.0004</t>
  </si>
  <si>
    <t>522.20.46.0005</t>
  </si>
  <si>
    <t>522.20.49.0000</t>
  </si>
  <si>
    <t>522.41.31.0004</t>
  </si>
  <si>
    <t>522.41.35.0004</t>
  </si>
  <si>
    <t>522.41.41.0002</t>
  </si>
  <si>
    <t>522.45.49.0002</t>
  </si>
  <si>
    <t>522.45.49.0003</t>
  </si>
  <si>
    <t>522.50.31.0003</t>
  </si>
  <si>
    <t>522.50.35.0003</t>
  </si>
  <si>
    <t>522.50.46.0001</t>
  </si>
  <si>
    <t>522.50.47.0002</t>
  </si>
  <si>
    <t>522.50.47.0003</t>
  </si>
  <si>
    <t>522.50.47.0004</t>
  </si>
  <si>
    <t>522.50.48.0001</t>
  </si>
  <si>
    <t>522.60.35.0005</t>
  </si>
  <si>
    <t>522.60.48.0002</t>
  </si>
  <si>
    <t>522.60.48.0004</t>
  </si>
  <si>
    <t>522.60.48.0005</t>
  </si>
  <si>
    <t>522.70.41.0003</t>
  </si>
  <si>
    <t>522.10.10.0001</t>
  </si>
  <si>
    <t>522.10.10.0002</t>
  </si>
  <si>
    <t>522.10.10.0006</t>
  </si>
  <si>
    <t>522.10.10.0007</t>
  </si>
  <si>
    <t>522.10.10.0008</t>
  </si>
  <si>
    <t>522.10.20.0001</t>
  </si>
  <si>
    <t>522.10.20.0002</t>
  </si>
  <si>
    <t>522.10.20.0003</t>
  </si>
  <si>
    <t>522.10.20.0004</t>
  </si>
  <si>
    <t>522.10.20.0005</t>
  </si>
  <si>
    <t>522.10.20.0006</t>
  </si>
  <si>
    <t>522.10.20.0007</t>
  </si>
  <si>
    <t>522.10.20.0011</t>
  </si>
  <si>
    <t>522.10.20.0012</t>
  </si>
  <si>
    <t>522.10.20.0013</t>
  </si>
  <si>
    <t>522.10.20.0014</t>
  </si>
  <si>
    <t>522.20.10.0001</t>
  </si>
  <si>
    <t>522.20.10.1001</t>
  </si>
  <si>
    <t>522.20.10.1003</t>
  </si>
  <si>
    <t>522.20.10.1005</t>
  </si>
  <si>
    <t>522.20.20.0001</t>
  </si>
  <si>
    <t>522.20.20.0002</t>
  </si>
  <si>
    <t>522.20.20.0004</t>
  </si>
  <si>
    <t>522.20.20.0006</t>
  </si>
  <si>
    <t>522.20.20.0007</t>
  </si>
  <si>
    <t>522.20.20.0008</t>
  </si>
  <si>
    <t>522.20.20.0011</t>
  </si>
  <si>
    <t>522.20.20.0012</t>
  </si>
  <si>
    <t>522.20.20.0013</t>
  </si>
  <si>
    <t>522.20.20.0014</t>
  </si>
  <si>
    <t>522.20.20.0022</t>
  </si>
  <si>
    <t>522.20.20.1005</t>
  </si>
  <si>
    <t>522.41.10.0003</t>
  </si>
  <si>
    <t>522.41.10.0005</t>
  </si>
  <si>
    <t>522.41.10.0006</t>
  </si>
  <si>
    <t>522.41.20.0001</t>
  </si>
  <si>
    <t>522.41.20.0002</t>
  </si>
  <si>
    <t>522.41.20.0003</t>
  </si>
  <si>
    <t>522.41.20.0004</t>
  </si>
  <si>
    <t>522.41.20.0006</t>
  </si>
  <si>
    <t>522.41.20.0007</t>
  </si>
  <si>
    <t>522.41.20.0011</t>
  </si>
  <si>
    <t>522.41.20.0012</t>
  </si>
  <si>
    <t>522.41.20.0013</t>
  </si>
  <si>
    <t>522.41.20.0014</t>
  </si>
  <si>
    <t>Outreach Health Reimbursement Acct</t>
  </si>
  <si>
    <t>522.41.20.0022</t>
  </si>
  <si>
    <t>308.80.00.0000</t>
  </si>
  <si>
    <t>311.10.00.0000</t>
  </si>
  <si>
    <t>331.93.00.0000</t>
  </si>
  <si>
    <t>332.93.40.0000</t>
  </si>
  <si>
    <t>333.93.77.8000</t>
  </si>
  <si>
    <t>334.04.92.0526</t>
  </si>
  <si>
    <t>336.02.31.0000</t>
  </si>
  <si>
    <t>342.21.00.0000</t>
  </si>
  <si>
    <t>342.60.00.0000</t>
  </si>
  <si>
    <t>361.11.00.0000</t>
  </si>
  <si>
    <t>367.00.00.0000</t>
  </si>
  <si>
    <t>395.10.00.0000</t>
  </si>
  <si>
    <t>397.22.00.6511</t>
  </si>
  <si>
    <t>522.10.10.0009</t>
  </si>
  <si>
    <t>522.10.20.0022</t>
  </si>
  <si>
    <t>522.20.10.0004</t>
  </si>
  <si>
    <t>522.60.42.0001</t>
  </si>
  <si>
    <t>Beginning Cash</t>
  </si>
  <si>
    <t xml:space="preserve">337.20.00.0000 </t>
  </si>
  <si>
    <t xml:space="preserve">337.40.00.0000 </t>
  </si>
  <si>
    <t>Tax Revenue - Misc (Leasehold)</t>
  </si>
  <si>
    <t>Tax Revenue - Misc (Timber Tax)</t>
  </si>
  <si>
    <t>342.60.00.0001</t>
  </si>
  <si>
    <t>Ground Emergency Med Transport Reimb</t>
  </si>
  <si>
    <t xml:space="preserve">342.60.00.0002 </t>
  </si>
  <si>
    <t>GEMT Reimbursement</t>
  </si>
  <si>
    <t>361.40.00.0000</t>
  </si>
  <si>
    <t>Loan Interest Earnings</t>
  </si>
  <si>
    <t xml:space="preserve">362.50.00.0000 </t>
  </si>
  <si>
    <t>Rents, Leases and Concessions</t>
  </si>
  <si>
    <t>367.00.00.0001</t>
  </si>
  <si>
    <t xml:space="preserve">Contributions/Donations--Private Sources </t>
  </si>
  <si>
    <t>367.00.00.0002</t>
  </si>
  <si>
    <t>Small Grant from Private Org.</t>
  </si>
  <si>
    <t>388.10.00.0000</t>
  </si>
  <si>
    <t>Prior Period Adjustments</t>
  </si>
  <si>
    <t xml:space="preserve">391.70.00.0000 </t>
  </si>
  <si>
    <t xml:space="preserve"> Repayment of DRS loan </t>
  </si>
  <si>
    <t xml:space="preserve">397.00.00.6521 </t>
  </si>
  <si>
    <t>522.10.20.0010</t>
  </si>
  <si>
    <t xml:space="preserve">Cell Phone Stipend - Admin </t>
  </si>
  <si>
    <t xml:space="preserve">522.10.20.1009 </t>
  </si>
  <si>
    <t xml:space="preserve">Cell Phone Stipend - Provider </t>
  </si>
  <si>
    <t>522.10.23.0000</t>
  </si>
  <si>
    <t>522.10.41.0149</t>
  </si>
  <si>
    <t xml:space="preserve">522.10.46.0002 </t>
  </si>
  <si>
    <t xml:space="preserve">522.10.46.0003 </t>
  </si>
  <si>
    <t xml:space="preserve">Portable Equipment Insurance </t>
  </si>
  <si>
    <t xml:space="preserve">Vehicle Insurance </t>
  </si>
  <si>
    <t xml:space="preserve">Building Insurance </t>
  </si>
  <si>
    <t xml:space="preserve">522.10.46.0004 </t>
  </si>
  <si>
    <t xml:space="preserve">522.10.49.0004 </t>
  </si>
  <si>
    <t xml:space="preserve">522.10.49.0006 </t>
  </si>
  <si>
    <t xml:space="preserve">522.10.49.0007 </t>
  </si>
  <si>
    <t xml:space="preserve">District Costs </t>
  </si>
  <si>
    <t xml:space="preserve">Refunds </t>
  </si>
  <si>
    <t xml:space="preserve">CAMPTS Accreditation </t>
  </si>
  <si>
    <t xml:space="preserve">522.10.49.0060 </t>
  </si>
  <si>
    <t xml:space="preserve">Finance Charges &amp; Late Fees </t>
  </si>
  <si>
    <t xml:space="preserve">522.10.49.0085 </t>
  </si>
  <si>
    <t xml:space="preserve">NSF Check Fees </t>
  </si>
  <si>
    <t xml:space="preserve">522.20.10.0003 </t>
  </si>
  <si>
    <t xml:space="preserve">Operations Director </t>
  </si>
  <si>
    <t xml:space="preserve">522.20.10.0004 </t>
  </si>
  <si>
    <t xml:space="preserve">Logistics Coordinator </t>
  </si>
  <si>
    <t xml:space="preserve">522.20.10.1002 </t>
  </si>
  <si>
    <t xml:space="preserve">522.20.20.0015 </t>
  </si>
  <si>
    <t xml:space="preserve">Medical Expense Reimbursement Plan </t>
  </si>
  <si>
    <t xml:space="preserve">Cell Phone Stipend Provider </t>
  </si>
  <si>
    <t>522.20.20.1010</t>
  </si>
  <si>
    <t>Moving Allowance</t>
  </si>
  <si>
    <t>522.20.23.0000</t>
  </si>
  <si>
    <t xml:space="preserve">522.20.41.0002 </t>
  </si>
  <si>
    <t xml:space="preserve">Medical Exams </t>
  </si>
  <si>
    <t xml:space="preserve">Computer Consultant </t>
  </si>
  <si>
    <t xml:space="preserve">Mapping Services </t>
  </si>
  <si>
    <t xml:space="preserve">522.30.32.0001 </t>
  </si>
  <si>
    <t>Fuel consumed</t>
  </si>
  <si>
    <t xml:space="preserve">522.41.41.0003 </t>
  </si>
  <si>
    <t xml:space="preserve">522.41.41.0004 </t>
  </si>
  <si>
    <t xml:space="preserve">Supervising Physician-Comm Paramedicine </t>
  </si>
  <si>
    <t xml:space="preserve">Community Paramedicine ACH Grant </t>
  </si>
  <si>
    <t xml:space="preserve">522.50.45.0001 </t>
  </si>
  <si>
    <t xml:space="preserve">522.60.48.0003 </t>
  </si>
  <si>
    <t xml:space="preserve">Medical Equipment - Vehicle </t>
  </si>
  <si>
    <t xml:space="preserve">522.70.10.0001 </t>
  </si>
  <si>
    <t xml:space="preserve">EMT - Off Island Transfer </t>
  </si>
  <si>
    <t>522.70.41.0006</t>
  </si>
  <si>
    <t xml:space="preserve"> Air Transport Contract </t>
  </si>
  <si>
    <t xml:space="preserve">588.10.00.0000 </t>
  </si>
  <si>
    <t xml:space="preserve">Prior Year Adjustments </t>
  </si>
  <si>
    <t xml:space="preserve">594.22.64.0002   </t>
  </si>
  <si>
    <t>Building/Fixtures</t>
  </si>
  <si>
    <t xml:space="preserve">591.22.71.2022 </t>
  </si>
  <si>
    <t xml:space="preserve">592.22.80.0000 </t>
  </si>
  <si>
    <t xml:space="preserve">Principal GO Bonds til 2022 </t>
  </si>
  <si>
    <t xml:space="preserve">592.22.83.2022 </t>
  </si>
  <si>
    <t xml:space="preserve">Interest GO Bonds til 2022 </t>
  </si>
  <si>
    <t xml:space="preserve">592.22.89.0000 </t>
  </si>
  <si>
    <t xml:space="preserve">594.22.61.0000 </t>
  </si>
  <si>
    <t xml:space="preserve">594.22.62.0000 </t>
  </si>
  <si>
    <t xml:space="preserve">594.22.64.0001 </t>
  </si>
  <si>
    <t xml:space="preserve">594.22.64.0003 </t>
  </si>
  <si>
    <t xml:space="preserve">Statutory Interest (Tax Refund) </t>
  </si>
  <si>
    <t xml:space="preserve">Vehicle Purchases </t>
  </si>
  <si>
    <t xml:space="preserve">EMS Equipment </t>
  </si>
  <si>
    <t xml:space="preserve">Buildings and Structures </t>
  </si>
  <si>
    <t xml:space="preserve">Land and Land Improvements </t>
  </si>
  <si>
    <t xml:space="preserve">Debt Service Admin Fee </t>
  </si>
  <si>
    <t>TOTAL</t>
  </si>
  <si>
    <t xml:space="preserve">TOTAL EXPENDITURES </t>
  </si>
  <si>
    <t xml:space="preserve">Vacation / Holiday -PHD (admin) </t>
  </si>
  <si>
    <t xml:space="preserve">508.80.00.0000 </t>
  </si>
  <si>
    <t xml:space="preserve">Ending Cash </t>
  </si>
  <si>
    <t>508.80.00.0001</t>
  </si>
  <si>
    <t>508.80.00.0002</t>
  </si>
  <si>
    <t>508.80.00.0003</t>
  </si>
  <si>
    <t>Budgeted Operating Reserve</t>
  </si>
  <si>
    <t>Building Loan Payment Reserves</t>
  </si>
  <si>
    <t>Vehicle Reserves</t>
  </si>
  <si>
    <t>508.80.00.0004</t>
  </si>
  <si>
    <t>Excess Bond Principal Payment</t>
  </si>
  <si>
    <t>Operating Rentals and Leases</t>
  </si>
  <si>
    <t xml:space="preserve">Transfers-in from SJI Hosp. Dist. </t>
  </si>
  <si>
    <t>Flight Nurses</t>
  </si>
  <si>
    <t>522.10.20.0008</t>
  </si>
  <si>
    <t>Expenditures - Reserve Fund 6512</t>
  </si>
  <si>
    <t xml:space="preserve">Total: Reserve Expenditures </t>
  </si>
  <si>
    <t>Cash</t>
  </si>
  <si>
    <t>508.80.00.0000</t>
  </si>
  <si>
    <t>594.22.64.0001</t>
  </si>
  <si>
    <t>EMS Equipment</t>
  </si>
  <si>
    <t>Vehicle Purchases</t>
  </si>
  <si>
    <t>594.22.64.0003</t>
  </si>
  <si>
    <t>597.22.00.6511</t>
  </si>
  <si>
    <t xml:space="preserve">Transfers to General Fund </t>
  </si>
  <si>
    <t>Personnel Services - Revenues</t>
  </si>
  <si>
    <t>Administration- Chief</t>
  </si>
  <si>
    <t>Admin-Exec.Asst.EMS</t>
  </si>
  <si>
    <t xml:space="preserve">Admin Mileage </t>
  </si>
  <si>
    <t>Admin Per diem (travel)</t>
  </si>
  <si>
    <t xml:space="preserve">Admin Moving Allowance </t>
  </si>
  <si>
    <t>Ops - PTO</t>
  </si>
  <si>
    <t>Other benefits - Ops (provider med flight)</t>
  </si>
  <si>
    <t>Portable Equipment Insurance</t>
  </si>
  <si>
    <t>Vehicle Insurance</t>
  </si>
  <si>
    <t>Other benefits - Outreach (med flight)</t>
  </si>
  <si>
    <t xml:space="preserve">Public training equipment (outreach) </t>
  </si>
  <si>
    <t>Public training supplies (outreach)</t>
  </si>
  <si>
    <t>Radio equipment (vehicle)</t>
  </si>
  <si>
    <t xml:space="preserve">597.00.00.6512 </t>
  </si>
  <si>
    <t xml:space="preserve">Transfers-out </t>
  </si>
  <si>
    <t>597.00.00</t>
  </si>
  <si>
    <t xml:space="preserve">Transfers to Reserve Fund </t>
  </si>
  <si>
    <t>Total: Reserve Revenue</t>
  </si>
  <si>
    <t xml:space="preserve">Liability (general and Management) </t>
  </si>
  <si>
    <t xml:space="preserve">Station Insurance (and crime) </t>
  </si>
  <si>
    <t xml:space="preserve">SALARIES AND WAGES (ADMIN) </t>
  </si>
  <si>
    <t xml:space="preserve">PERSONNEL BENEFITS (ADMIN) </t>
  </si>
  <si>
    <t>SALARIES AND WAGES (OPS)</t>
  </si>
  <si>
    <t xml:space="preserve">PERSONNEL BENEFITS (OPS) </t>
  </si>
  <si>
    <t xml:space="preserve">SALARIES AND WAGES (OUTREACH) </t>
  </si>
  <si>
    <t xml:space="preserve">PERSONNEL BENEFITS (OUTREACH) </t>
  </si>
  <si>
    <t xml:space="preserve">Subtotal </t>
  </si>
  <si>
    <t>Administration-Interim Chief</t>
  </si>
  <si>
    <t>Administration-Exec.Asst.EMS</t>
  </si>
  <si>
    <t>Administration</t>
  </si>
  <si>
    <t>Ops</t>
  </si>
  <si>
    <t>Other benefits - Ops</t>
  </si>
  <si>
    <t>Other benefits - Outreach</t>
  </si>
  <si>
    <t xml:space="preserve">Total Personnel </t>
  </si>
  <si>
    <t xml:space="preserve">PERSONNEL </t>
  </si>
  <si>
    <t xml:space="preserve">MATERIALS AND SUPPLIES  </t>
  </si>
  <si>
    <t>COMMUNICATION</t>
  </si>
  <si>
    <t xml:space="preserve">TRAVEL (ADMIN) </t>
  </si>
  <si>
    <t>INSURANCE PREMIUMS AND RECOVERIES (ADMIN)</t>
  </si>
  <si>
    <t>Liability</t>
  </si>
  <si>
    <t xml:space="preserve">MISCELLANEOUS </t>
  </si>
  <si>
    <t>SUPPLIES (OPS)</t>
  </si>
  <si>
    <t xml:space="preserve">FACILITIES </t>
  </si>
  <si>
    <t xml:space="preserve">SMALL TOOLS AND MINOR EQUIPMENT (ADMIN) </t>
  </si>
  <si>
    <t>PROFESSIONAL SERVICES (OPS)</t>
  </si>
  <si>
    <t>522.20.41.0002</t>
  </si>
  <si>
    <t>Medical Exams</t>
  </si>
  <si>
    <t>Computer Consultant</t>
  </si>
  <si>
    <t xml:space="preserve">TRAVEL (PROVIDER) </t>
  </si>
  <si>
    <t xml:space="preserve">INSURANCE PREMIUMS AND RECOVERIES (OPS) (see also admin and station insurance) </t>
  </si>
  <si>
    <t>Portable Equipment</t>
  </si>
  <si>
    <t>Vehicle</t>
  </si>
  <si>
    <t xml:space="preserve">GEMT </t>
  </si>
  <si>
    <t xml:space="preserve">SUPPLIES (OUTREACH) </t>
  </si>
  <si>
    <t>Public training supplies</t>
  </si>
  <si>
    <t>Public training equipment</t>
  </si>
  <si>
    <t>PROFESSIONAL SERVICES (OUTREACH)</t>
  </si>
  <si>
    <t>MISCELLANEOUS (OUTREACH)</t>
  </si>
  <si>
    <t>SUPPLIES / SMALL TOOLS (STATION)</t>
  </si>
  <si>
    <t xml:space="preserve"> INSURANCE (STATION) </t>
  </si>
  <si>
    <t>Station</t>
  </si>
  <si>
    <t>UTILITIES (STATION)</t>
  </si>
  <si>
    <t>REPAIRS AND MAINTENANCE (STATION)</t>
  </si>
  <si>
    <t xml:space="preserve">EQUIPMENT, REPAIRS, ETC. (OPS) </t>
  </si>
  <si>
    <t xml:space="preserve">CAPITAL INVESTMENT </t>
  </si>
  <si>
    <t>597.00.00.6512</t>
  </si>
  <si>
    <t>subtotal</t>
  </si>
  <si>
    <t>SUPPLIES - ADMIN</t>
  </si>
  <si>
    <t>PROFESSIONAL SERVICES (ADMIN)</t>
  </si>
  <si>
    <t>Building Annual Payment</t>
  </si>
  <si>
    <t>2021 Proposed Revised</t>
  </si>
  <si>
    <t xml:space="preserve">2020 Actuals </t>
  </si>
  <si>
    <t>2021 Revised</t>
  </si>
  <si>
    <t>522.10.20.0009</t>
  </si>
  <si>
    <t xml:space="preserve">2021 Revised </t>
  </si>
  <si>
    <t>subtract out PHD Employees for cost estimate of EMS-only employees</t>
  </si>
  <si>
    <t>Total Revenue without Beginning Cash</t>
  </si>
  <si>
    <t>Total expenditures before ending cash</t>
  </si>
  <si>
    <t>VITAL STATS</t>
  </si>
  <si>
    <t>total revenue before beginning cash</t>
  </si>
  <si>
    <t xml:space="preserve">total expenses before ending cash </t>
  </si>
  <si>
    <t xml:space="preserve">operating profit/loss </t>
  </si>
  <si>
    <t>Total Revenue (6511)</t>
  </si>
  <si>
    <t>Total Expenses (6511)</t>
  </si>
  <si>
    <t xml:space="preserve">2021 Budget Revised </t>
  </si>
  <si>
    <t>369.91.00.0097</t>
  </si>
  <si>
    <t>2021 YTD (Sept '21)</t>
  </si>
  <si>
    <t>2021 YRD (Sept '21)</t>
  </si>
  <si>
    <t>369.91.00.0000</t>
  </si>
  <si>
    <t>369.91.00.0095</t>
  </si>
  <si>
    <t>Rrefunds of Prior Year Expenditures</t>
  </si>
  <si>
    <t>2021 Actuals (Oct 2021)</t>
  </si>
  <si>
    <t>Assistant Chief / Training Officer</t>
  </si>
  <si>
    <t xml:space="preserve">2022 Adopted </t>
  </si>
  <si>
    <t>2022 Adopted</t>
  </si>
  <si>
    <t xml:space="preserve">Training Dinners, Recognition, Awards </t>
  </si>
  <si>
    <t>TOTAL M&amp;S</t>
  </si>
  <si>
    <t xml:space="preserve">TOTAL - ALL CATEGORIES </t>
  </si>
  <si>
    <t xml:space="preserve">Description </t>
  </si>
  <si>
    <t>591.22.71.2022</t>
  </si>
  <si>
    <t xml:space="preserve">Transfer to Reserve for Capital Investment  </t>
  </si>
  <si>
    <t xml:space="preserve">Radio equipment - Vehicle </t>
  </si>
  <si>
    <t>Contract Services</t>
  </si>
  <si>
    <t>EMS Equipment / Repair</t>
  </si>
  <si>
    <t xml:space="preserve">Mobile Cell Service </t>
  </si>
  <si>
    <t>522.60.48.0003</t>
  </si>
  <si>
    <t>Medical Equipment - Vehicle</t>
  </si>
  <si>
    <t xml:space="preserve">NOTE: This sheet is autopopulated from the green spreadsheets to represent the data in a different way. It is the same data from the Expenditures sheet. It does not include the reserve fund expenditures. </t>
  </si>
  <si>
    <t>Retirement PERS - Admin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</si>
</sst>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164" formatCode="#,##0;\(#,##0\)"/>
    <numFmt numFmtId="165" formatCode="&quot; &quot;&quot;$&quot;* #,##0&quot; &quot;;&quot; &quot;&quot;$&quot;* \(#,##0\);&quot; &quot;&quot;$&quot;* &quot;-&quot;??&quot; &quot;"/>
    <numFmt numFmtId="166" formatCode="&quot; &quot;#,##0&quot; &quot;;\(#,##0\)"/>
    <numFmt numFmtId="167" formatCode="&quot; &quot;&quot;$&quot;* #,##0&quot; &quot;;&quot; &quot;&quot;$&quot;* \(#,##0\);&quot; &quot;&quot;$&quot;* &quot;- &quot;"/>
  </numFmts>
  <fonts count="45" x14ac:knownFonts="1">
    <font>
      <sz val="10"/>
      <color indexed="8"/>
      <name val="Arial"/>
    </font>
    <font>
      <b/>
      <sz val="12"/>
      <color indexed="8"/>
      <name val="Arial"/>
      <family val="2"/>
    </font>
    <font>
      <sz val="11"/>
      <color indexed="8"/>
      <name val="Calibri"/>
      <family val="2"/>
    </font>
    <font>
      <i/>
      <sz val="10"/>
      <color indexed="8"/>
      <name val="Arial"/>
      <family val="2"/>
    </font>
    <font>
      <b/>
      <sz val="10"/>
      <color indexed="11"/>
      <name val="Arial"/>
      <family val="2"/>
    </font>
    <font>
      <b/>
      <sz val="10"/>
      <color indexed="12"/>
      <name val="Arial"/>
      <family val="2"/>
    </font>
    <font>
      <b/>
      <sz val="10"/>
      <color indexed="14"/>
      <name val="Arial"/>
      <family val="2"/>
    </font>
    <font>
      <b/>
      <sz val="10"/>
      <color indexed="8"/>
      <name val="Arial"/>
      <family val="2"/>
    </font>
    <font>
      <sz val="11"/>
      <color indexed="16"/>
      <name val="Calibri"/>
      <family val="2"/>
    </font>
    <font>
      <b/>
      <sz val="11"/>
      <color indexed="8"/>
      <name val="Calibri"/>
      <family val="2"/>
    </font>
    <font>
      <b/>
      <sz val="9"/>
      <color indexed="8"/>
      <name val="Arial"/>
      <family val="2"/>
    </font>
    <font>
      <b/>
      <sz val="11"/>
      <color indexed="18"/>
      <name val="Calibri"/>
      <family val="2"/>
    </font>
    <font>
      <b/>
      <sz val="9"/>
      <color indexed="11"/>
      <name val="Arial"/>
      <family val="2"/>
    </font>
    <font>
      <b/>
      <sz val="8"/>
      <color indexed="8"/>
      <name val="Arial"/>
      <family val="2"/>
    </font>
    <font>
      <sz val="8"/>
      <color indexed="8"/>
      <name val="Arial"/>
      <family val="2"/>
    </font>
    <font>
      <b/>
      <i/>
      <sz val="11"/>
      <color indexed="8"/>
      <name val="Calibri"/>
      <family val="2"/>
    </font>
    <font>
      <u/>
      <sz val="10"/>
      <color theme="10"/>
      <name val="Arial"/>
      <family val="2"/>
    </font>
    <font>
      <u/>
      <sz val="10"/>
      <color theme="11"/>
      <name val="Arial"/>
      <family val="2"/>
    </font>
    <font>
      <sz val="8"/>
      <name val="Arial"/>
      <family val="2"/>
    </font>
    <font>
      <b/>
      <sz val="11"/>
      <color indexed="11"/>
      <name val="Calibri"/>
      <family val="2"/>
    </font>
    <font>
      <b/>
      <i/>
      <sz val="11"/>
      <color rgb="FF000000"/>
      <name val="Calibri"/>
      <family val="2"/>
    </font>
    <font>
      <sz val="11"/>
      <name val="Calibri"/>
      <family val="2"/>
    </font>
    <font>
      <sz val="11"/>
      <color rgb="FFFF0000"/>
      <name val="Calibri"/>
      <family val="2"/>
    </font>
    <font>
      <b/>
      <sz val="10"/>
      <name val="Arial"/>
      <family val="2"/>
    </font>
    <font>
      <sz val="11"/>
      <color theme="1"/>
      <name val="Calibri"/>
      <family val="2"/>
    </font>
    <font>
      <sz val="10"/>
      <color indexed="8"/>
      <name val="Arial"/>
      <family val="2"/>
    </font>
    <font>
      <sz val="10"/>
      <color indexed="8"/>
      <name val="Arial"/>
      <family val="2"/>
    </font>
    <font>
      <b/>
      <i/>
      <sz val="10"/>
      <color indexed="8"/>
      <name val="Arial"/>
      <family val="2"/>
    </font>
    <font>
      <sz val="9"/>
      <color indexed="81"/>
      <name val="Tahoma"/>
      <family val="2"/>
    </font>
    <font>
      <b/>
      <sz val="9"/>
      <color indexed="81"/>
      <name val="Tahoma"/>
      <family val="2"/>
    </font>
    <font>
      <b/>
      <sz val="11"/>
      <name val="Calibri"/>
      <family val="2"/>
    </font>
    <font>
      <i/>
      <sz val="11"/>
      <color indexed="8"/>
      <name val="Calibri"/>
      <family val="2"/>
    </font>
    <font>
      <b/>
      <sz val="12"/>
      <color rgb="FFFF0000"/>
      <name val="Arial"/>
      <family val="2"/>
    </font>
    <font>
      <sz val="11"/>
      <color rgb="FF0070C0"/>
      <name val="Calibri"/>
      <family val="2"/>
    </font>
    <font>
      <b/>
      <sz val="10"/>
      <color rgb="FF002060"/>
      <name val="Arial"/>
      <family val="2"/>
    </font>
    <font>
      <i/>
      <sz val="10"/>
      <name val="Arial"/>
      <family val="2"/>
    </font>
    <font>
      <i/>
      <sz val="11"/>
      <name val="Calibri"/>
      <family val="2"/>
    </font>
    <font>
      <i/>
      <sz val="11"/>
      <color rgb="FF000000"/>
      <name val="Calibri"/>
      <family val="2"/>
    </font>
    <font>
      <b/>
      <sz val="11"/>
      <color theme="1"/>
      <name val="Calibri"/>
      <family val="2"/>
    </font>
    <font>
      <i/>
      <sz val="11"/>
      <color theme="1"/>
      <name val="Calibri"/>
      <family val="2"/>
    </font>
    <font>
      <sz val="9"/>
      <color indexed="81"/>
      <name val="Tahoma"/>
      <charset val="1"/>
    </font>
    <font>
      <b/>
      <sz val="9"/>
      <color indexed="81"/>
      <name val="Tahoma"/>
      <charset val="1"/>
    </font>
    <font>
      <b/>
      <sz val="11"/>
      <color rgb="FFC00000"/>
      <name val="Calibri"/>
      <family val="2"/>
    </font>
    <font>
      <u/>
      <sz val="9"/>
      <color indexed="81"/>
      <name val="Tahoma"/>
      <family val="2"/>
    </font>
    <font>
      <b/>
      <sz val="10"/>
      <color theme="5"/>
      <name val="Arial"/>
      <family val="2"/>
    </font>
  </fonts>
  <fills count="15">
    <fill>
      <patternFill patternType="none"/>
    </fill>
    <fill>
      <patternFill patternType="gray125"/>
    </fill>
    <fill>
      <patternFill patternType="solid">
        <fgColor indexed="9"/>
        <bgColor auto="1"/>
      </patternFill>
    </fill>
    <fill>
      <patternFill patternType="solid">
        <fgColor indexed="15"/>
        <bgColor auto="1"/>
      </patternFill>
    </fill>
    <fill>
      <patternFill patternType="solid">
        <fgColor indexed="17"/>
        <bgColor auto="1"/>
      </patternFill>
    </fill>
    <fill>
      <patternFill patternType="solid">
        <fgColor indexed="19"/>
        <bgColor auto="1"/>
      </patternFill>
    </fill>
    <fill>
      <patternFill patternType="solid">
        <fgColor indexed="20"/>
        <bgColor auto="1"/>
      </patternFill>
    </fill>
    <fill>
      <patternFill patternType="solid">
        <fgColor theme="0" tint="-0.14999847407452621"/>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2" tint="0.79998168889431442"/>
        <bgColor indexed="64"/>
      </patternFill>
    </fill>
    <fill>
      <patternFill patternType="solid">
        <fgColor theme="3"/>
        <bgColor indexed="64"/>
      </patternFill>
    </fill>
  </fills>
  <borders count="45">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ck">
        <color indexed="11"/>
      </bottom>
      <diagonal/>
    </border>
    <border>
      <left style="thin">
        <color indexed="10"/>
      </left>
      <right style="thin">
        <color indexed="10"/>
      </right>
      <top style="thin">
        <color indexed="10"/>
      </top>
      <bottom style="thick">
        <color indexed="12"/>
      </bottom>
      <diagonal/>
    </border>
    <border>
      <left style="thin">
        <color indexed="10"/>
      </left>
      <right style="thin">
        <color indexed="10"/>
      </right>
      <top style="thick">
        <color indexed="11"/>
      </top>
      <bottom style="thin">
        <color indexed="11"/>
      </bottom>
      <diagonal/>
    </border>
    <border>
      <left style="thin">
        <color indexed="10"/>
      </left>
      <right style="thin">
        <color indexed="10"/>
      </right>
      <top style="thick">
        <color indexed="12"/>
      </top>
      <bottom style="thin">
        <color indexed="12"/>
      </bottom>
      <diagonal/>
    </border>
    <border>
      <left style="thin">
        <color indexed="10"/>
      </left>
      <right style="thin">
        <color indexed="10"/>
      </right>
      <top style="thin">
        <color indexed="11"/>
      </top>
      <bottom style="thin">
        <color indexed="10"/>
      </bottom>
      <diagonal/>
    </border>
    <border>
      <left style="thin">
        <color indexed="10"/>
      </left>
      <right style="thin">
        <color indexed="10"/>
      </right>
      <top style="thin">
        <color indexed="12"/>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10"/>
      </right>
      <top style="thin">
        <color indexed="10"/>
      </top>
      <bottom/>
      <diagonal/>
    </border>
    <border>
      <left style="thin">
        <color indexed="10"/>
      </left>
      <right/>
      <top/>
      <bottom/>
      <diagonal/>
    </border>
    <border>
      <left/>
      <right/>
      <top/>
      <bottom/>
      <diagonal/>
    </border>
    <border>
      <left/>
      <right/>
      <top style="thin">
        <color indexed="8"/>
      </top>
      <bottom style="thin">
        <color indexed="8"/>
      </bottom>
      <diagonal/>
    </border>
    <border>
      <left style="thin">
        <color indexed="10"/>
      </left>
      <right style="thin">
        <color indexed="10"/>
      </right>
      <top/>
      <bottom style="thin">
        <color indexed="10"/>
      </bottom>
      <diagonal/>
    </border>
    <border>
      <left style="thin">
        <color indexed="10"/>
      </left>
      <right/>
      <top/>
      <bottom style="thin">
        <color indexed="10"/>
      </bottom>
      <diagonal/>
    </border>
    <border>
      <left/>
      <right/>
      <top/>
      <bottom style="thin">
        <color indexed="10"/>
      </bottom>
      <diagonal/>
    </border>
    <border>
      <left style="thin">
        <color indexed="10"/>
      </left>
      <right style="thin">
        <color indexed="10"/>
      </right>
      <top style="thick">
        <color indexed="8"/>
      </top>
      <bottom style="medium">
        <color indexed="8"/>
      </bottom>
      <diagonal/>
    </border>
    <border>
      <left style="thin">
        <color indexed="10"/>
      </left>
      <right/>
      <top style="thick">
        <color indexed="8"/>
      </top>
      <bottom style="medium">
        <color indexed="8"/>
      </bottom>
      <diagonal/>
    </border>
    <border>
      <left/>
      <right/>
      <top style="thick">
        <color indexed="8"/>
      </top>
      <bottom style="medium">
        <color indexed="8"/>
      </bottom>
      <diagonal/>
    </border>
    <border>
      <left style="thin">
        <color indexed="10"/>
      </left>
      <right/>
      <top style="medium">
        <color indexed="8"/>
      </top>
      <bottom/>
      <diagonal/>
    </border>
    <border>
      <left/>
      <right/>
      <top style="medium">
        <color indexed="8"/>
      </top>
      <bottom/>
      <diagonal/>
    </border>
    <border>
      <left style="thin">
        <color indexed="10"/>
      </left>
      <right style="thin">
        <color indexed="10"/>
      </right>
      <top style="thin">
        <color indexed="10"/>
      </top>
      <bottom style="thin">
        <color auto="1"/>
      </bottom>
      <diagonal/>
    </border>
    <border>
      <left style="thin">
        <color indexed="10"/>
      </left>
      <right style="thin">
        <color indexed="10"/>
      </right>
      <top style="thin">
        <color auto="1"/>
      </top>
      <bottom style="thin">
        <color indexed="10"/>
      </bottom>
      <diagonal/>
    </border>
    <border>
      <left style="thin">
        <color indexed="10"/>
      </left>
      <right style="thin">
        <color auto="1"/>
      </right>
      <top style="thin">
        <color auto="1"/>
      </top>
      <bottom style="thin">
        <color indexed="10"/>
      </bottom>
      <diagonal/>
    </border>
    <border>
      <left style="thin">
        <color indexed="10"/>
      </left>
      <right style="thin">
        <color auto="1"/>
      </right>
      <top style="thin">
        <color indexed="10"/>
      </top>
      <bottom style="thin">
        <color auto="1"/>
      </bottom>
      <diagonal/>
    </border>
    <border>
      <left style="thin">
        <color indexed="10"/>
      </left>
      <right style="thin">
        <color indexed="10"/>
      </right>
      <top/>
      <bottom style="thin">
        <color auto="1"/>
      </bottom>
      <diagonal/>
    </border>
    <border>
      <left style="thin">
        <color indexed="10"/>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18">
    <xf numFmtId="0" fontId="0" fillId="0" borderId="0" applyNumberFormat="0" applyFill="0" applyBorder="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5" fillId="0" borderId="13" applyNumberFormat="0" applyFill="0" applyBorder="0" applyProtection="0"/>
    <xf numFmtId="0" fontId="25" fillId="0" borderId="13" applyNumberFormat="0" applyFill="0" applyBorder="0" applyProtection="0"/>
    <xf numFmtId="0" fontId="26" fillId="0" borderId="13">
      <alignment vertical="top"/>
    </xf>
  </cellStyleXfs>
  <cellXfs count="292">
    <xf numFmtId="0" fontId="0" fillId="0" borderId="0" xfId="0" applyFont="1" applyAlignment="1"/>
    <xf numFmtId="49" fontId="1" fillId="2" borderId="1" xfId="0" applyNumberFormat="1" applyFont="1" applyFill="1" applyBorder="1" applyAlignment="1"/>
    <xf numFmtId="0" fontId="0" fillId="2" borderId="1" xfId="0" applyFont="1" applyFill="1" applyBorder="1" applyAlignment="1"/>
    <xf numFmtId="49" fontId="2" fillId="2" borderId="1" xfId="0" applyNumberFormat="1" applyFont="1" applyFill="1" applyBorder="1" applyAlignment="1"/>
    <xf numFmtId="0" fontId="3" fillId="2" borderId="2" xfId="0" applyNumberFormat="1" applyFont="1" applyFill="1" applyBorder="1" applyAlignment="1"/>
    <xf numFmtId="0" fontId="0" fillId="2" borderId="2" xfId="0" applyFont="1" applyFill="1" applyBorder="1" applyAlignment="1"/>
    <xf numFmtId="0" fontId="0" fillId="2" borderId="3" xfId="0" applyFont="1" applyFill="1" applyBorder="1" applyAlignment="1"/>
    <xf numFmtId="0" fontId="4" fillId="2" borderId="4" xfId="0" applyNumberFormat="1" applyFont="1" applyFill="1" applyBorder="1" applyAlignment="1">
      <alignment horizontal="center"/>
    </xf>
    <xf numFmtId="49" fontId="4" fillId="2" borderId="4" xfId="0" applyNumberFormat="1" applyFont="1" applyFill="1" applyBorder="1" applyAlignment="1">
      <alignment horizontal="center"/>
    </xf>
    <xf numFmtId="49" fontId="4" fillId="2" borderId="4" xfId="0" applyNumberFormat="1" applyFont="1" applyFill="1" applyBorder="1" applyAlignment="1">
      <alignment horizontal="center" wrapText="1"/>
    </xf>
    <xf numFmtId="49" fontId="5" fillId="2" borderId="5" xfId="0" applyNumberFormat="1" applyFont="1" applyFill="1" applyBorder="1" applyAlignment="1">
      <alignment horizontal="center" wrapText="1"/>
    </xf>
    <xf numFmtId="164" fontId="2" fillId="2" borderId="1" xfId="0" applyNumberFormat="1" applyFont="1" applyFill="1" applyBorder="1" applyAlignment="1"/>
    <xf numFmtId="0" fontId="0" fillId="2" borderId="8" xfId="0" applyFont="1" applyFill="1" applyBorder="1" applyAlignment="1"/>
    <xf numFmtId="164" fontId="2" fillId="2" borderId="8" xfId="0" applyNumberFormat="1" applyFont="1" applyFill="1" applyBorder="1" applyAlignment="1"/>
    <xf numFmtId="49" fontId="6" fillId="2" borderId="1" xfId="0" applyNumberFormat="1" applyFont="1" applyFill="1" applyBorder="1" applyAlignment="1"/>
    <xf numFmtId="0" fontId="0" fillId="2" borderId="10" xfId="0" applyFont="1" applyFill="1" applyBorder="1" applyAlignment="1"/>
    <xf numFmtId="165" fontId="2" fillId="2" borderId="1" xfId="0" applyNumberFormat="1" applyFont="1" applyFill="1" applyBorder="1" applyAlignment="1"/>
    <xf numFmtId="0" fontId="0" fillId="2" borderId="11" xfId="0" applyFont="1" applyFill="1" applyBorder="1" applyAlignment="1"/>
    <xf numFmtId="49" fontId="2" fillId="2" borderId="11" xfId="0" applyNumberFormat="1" applyFont="1" applyFill="1" applyBorder="1" applyAlignment="1"/>
    <xf numFmtId="165" fontId="2" fillId="2" borderId="8" xfId="0" applyNumberFormat="1" applyFont="1" applyFill="1" applyBorder="1" applyAlignment="1"/>
    <xf numFmtId="0" fontId="2" fillId="3" borderId="12" xfId="0" applyNumberFormat="1" applyFont="1" applyFill="1" applyBorder="1" applyAlignment="1"/>
    <xf numFmtId="49" fontId="7" fillId="3" borderId="13" xfId="0" applyNumberFormat="1" applyFont="1" applyFill="1" applyBorder="1" applyAlignment="1"/>
    <xf numFmtId="165" fontId="7" fillId="3" borderId="14" xfId="0" applyNumberFormat="1" applyFont="1" applyFill="1" applyBorder="1" applyAlignment="1"/>
    <xf numFmtId="0" fontId="0" fillId="2" borderId="15" xfId="0" applyFont="1" applyFill="1" applyBorder="1" applyAlignment="1"/>
    <xf numFmtId="0" fontId="6" fillId="2" borderId="1" xfId="0" applyNumberFormat="1" applyFont="1" applyFill="1" applyBorder="1" applyAlignment="1"/>
    <xf numFmtId="0" fontId="0" fillId="2" borderId="9" xfId="0" applyFont="1" applyFill="1" applyBorder="1" applyAlignment="1"/>
    <xf numFmtId="164" fontId="2" fillId="2" borderId="9" xfId="0" applyNumberFormat="1" applyFont="1" applyFill="1" applyBorder="1" applyAlignment="1"/>
    <xf numFmtId="165" fontId="7" fillId="4" borderId="14" xfId="0" applyNumberFormat="1" applyFont="1" applyFill="1" applyBorder="1" applyAlignment="1"/>
    <xf numFmtId="0" fontId="3" fillId="2" borderId="1" xfId="0" applyNumberFormat="1" applyFont="1" applyFill="1" applyBorder="1" applyAlignment="1"/>
    <xf numFmtId="49" fontId="9" fillId="3" borderId="13" xfId="0" applyNumberFormat="1" applyFont="1" applyFill="1" applyBorder="1" applyAlignment="1"/>
    <xf numFmtId="165" fontId="9" fillId="3" borderId="14" xfId="0" applyNumberFormat="1" applyFont="1" applyFill="1" applyBorder="1" applyAlignment="1"/>
    <xf numFmtId="166" fontId="2" fillId="2" borderId="10" xfId="0" applyNumberFormat="1" applyFont="1" applyFill="1" applyBorder="1" applyAlignment="1"/>
    <xf numFmtId="166" fontId="2" fillId="2" borderId="1" xfId="0" applyNumberFormat="1" applyFont="1" applyFill="1" applyBorder="1" applyAlignment="1"/>
    <xf numFmtId="49" fontId="7" fillId="4" borderId="12" xfId="0" applyNumberFormat="1" applyFont="1" applyFill="1" applyBorder="1" applyAlignment="1"/>
    <xf numFmtId="0" fontId="2" fillId="4" borderId="13" xfId="0" applyNumberFormat="1" applyFont="1" applyFill="1" applyBorder="1" applyAlignment="1"/>
    <xf numFmtId="0" fontId="0" fillId="0" borderId="0" xfId="0" applyNumberFormat="1" applyFont="1" applyAlignment="1"/>
    <xf numFmtId="0" fontId="4" fillId="2" borderId="6" xfId="0" applyNumberFormat="1" applyFont="1" applyFill="1" applyBorder="1" applyAlignment="1">
      <alignment horizontal="center"/>
    </xf>
    <xf numFmtId="164" fontId="4" fillId="2" borderId="6" xfId="0" applyNumberFormat="1" applyFont="1" applyFill="1" applyBorder="1" applyAlignment="1">
      <alignment horizontal="center" wrapText="1"/>
    </xf>
    <xf numFmtId="164" fontId="4" fillId="2" borderId="7" xfId="0" applyNumberFormat="1" applyFont="1" applyFill="1" applyBorder="1" applyAlignment="1">
      <alignment horizontal="center" wrapText="1"/>
    </xf>
    <xf numFmtId="165" fontId="0" fillId="2" borderId="9" xfId="0" applyNumberFormat="1" applyFont="1" applyFill="1" applyBorder="1" applyAlignment="1"/>
    <xf numFmtId="166" fontId="8" fillId="2" borderId="1" xfId="0" applyNumberFormat="1" applyFont="1" applyFill="1" applyBorder="1" applyAlignment="1"/>
    <xf numFmtId="0" fontId="2" fillId="2" borderId="1" xfId="0" applyNumberFormat="1" applyFont="1" applyFill="1" applyBorder="1" applyAlignment="1"/>
    <xf numFmtId="165" fontId="9" fillId="2" borderId="9" xfId="0" applyNumberFormat="1" applyFont="1" applyFill="1" applyBorder="1" applyAlignment="1"/>
    <xf numFmtId="166" fontId="2" fillId="2" borderId="9" xfId="0" applyNumberFormat="1" applyFont="1" applyFill="1" applyBorder="1" applyAlignment="1"/>
    <xf numFmtId="0" fontId="0" fillId="0" borderId="0" xfId="0" applyNumberFormat="1" applyFont="1" applyAlignment="1"/>
    <xf numFmtId="165" fontId="0" fillId="2" borderId="9" xfId="0" applyNumberFormat="1" applyFont="1" applyFill="1" applyBorder="1" applyAlignment="1">
      <alignment horizontal="left"/>
    </xf>
    <xf numFmtId="167" fontId="2" fillId="3" borderId="14" xfId="0" applyNumberFormat="1" applyFont="1" applyFill="1" applyBorder="1" applyAlignment="1"/>
    <xf numFmtId="0" fontId="2" fillId="3" borderId="16" xfId="0" applyNumberFormat="1" applyFont="1" applyFill="1" applyBorder="1" applyAlignment="1"/>
    <xf numFmtId="49" fontId="9" fillId="3" borderId="17" xfId="0" applyNumberFormat="1" applyFont="1" applyFill="1" applyBorder="1" applyAlignment="1"/>
    <xf numFmtId="49" fontId="10" fillId="2" borderId="18" xfId="0" applyNumberFormat="1" applyFont="1" applyFill="1" applyBorder="1" applyAlignment="1">
      <alignment horizontal="center" wrapText="1"/>
    </xf>
    <xf numFmtId="49" fontId="11" fillId="2" borderId="19" xfId="0" applyNumberFormat="1" applyFont="1" applyFill="1" applyBorder="1" applyAlignment="1">
      <alignment horizontal="center" wrapText="1"/>
    </xf>
    <xf numFmtId="49" fontId="12" fillId="5" borderId="20" xfId="0" applyNumberFormat="1" applyFont="1" applyFill="1" applyBorder="1" applyAlignment="1">
      <alignment horizontal="center" wrapText="1"/>
    </xf>
    <xf numFmtId="0" fontId="14" fillId="6" borderId="22" xfId="0" applyNumberFormat="1" applyFont="1" applyFill="1" applyBorder="1" applyAlignment="1">
      <alignment wrapText="1"/>
    </xf>
    <xf numFmtId="0" fontId="2" fillId="6" borderId="22" xfId="0" applyNumberFormat="1" applyFont="1" applyFill="1" applyBorder="1" applyAlignment="1">
      <alignment wrapText="1"/>
    </xf>
    <xf numFmtId="166" fontId="13" fillId="6" borderId="22" xfId="0" applyNumberFormat="1" applyFont="1" applyFill="1" applyBorder="1" applyAlignment="1"/>
    <xf numFmtId="49" fontId="2" fillId="2" borderId="1" xfId="0" applyNumberFormat="1" applyFont="1" applyFill="1" applyBorder="1" applyAlignment="1">
      <alignment wrapText="1"/>
    </xf>
    <xf numFmtId="0" fontId="2" fillId="2" borderId="1" xfId="0" applyNumberFormat="1" applyFont="1" applyFill="1" applyBorder="1" applyAlignment="1">
      <alignment wrapText="1"/>
    </xf>
    <xf numFmtId="0" fontId="0" fillId="0" borderId="0" xfId="0" applyNumberFormat="1" applyFont="1" applyAlignment="1"/>
    <xf numFmtId="0" fontId="14" fillId="6" borderId="21" xfId="0" applyNumberFormat="1" applyFont="1" applyFill="1" applyBorder="1" applyAlignment="1"/>
    <xf numFmtId="49" fontId="7" fillId="2" borderId="15" xfId="0" applyNumberFormat="1" applyFont="1" applyFill="1" applyBorder="1" applyAlignment="1"/>
    <xf numFmtId="0" fontId="0" fillId="2" borderId="15" xfId="0" applyFont="1" applyFill="1" applyBorder="1" applyAlignment="1">
      <alignment wrapText="1"/>
    </xf>
    <xf numFmtId="49" fontId="9" fillId="2" borderId="1" xfId="0" applyNumberFormat="1" applyFont="1" applyFill="1" applyBorder="1" applyAlignment="1">
      <alignment horizontal="right" wrapText="1"/>
    </xf>
    <xf numFmtId="49" fontId="15" fillId="2" borderId="1" xfId="0" applyNumberFormat="1" applyFont="1" applyFill="1" applyBorder="1" applyAlignment="1"/>
    <xf numFmtId="165" fontId="2" fillId="2" borderId="23" xfId="0" applyNumberFormat="1" applyFont="1" applyFill="1" applyBorder="1" applyAlignment="1"/>
    <xf numFmtId="165" fontId="2" fillId="2" borderId="24" xfId="0" applyNumberFormat="1" applyFont="1" applyFill="1" applyBorder="1" applyAlignment="1"/>
    <xf numFmtId="165" fontId="2" fillId="2" borderId="25" xfId="0" applyNumberFormat="1" applyFont="1" applyFill="1" applyBorder="1" applyAlignment="1"/>
    <xf numFmtId="165" fontId="2" fillId="2" borderId="26" xfId="0" applyNumberFormat="1" applyFont="1" applyFill="1" applyBorder="1" applyAlignment="1"/>
    <xf numFmtId="165" fontId="2" fillId="2" borderId="27" xfId="0" applyNumberFormat="1" applyFont="1" applyFill="1" applyBorder="1" applyAlignment="1"/>
    <xf numFmtId="165" fontId="2" fillId="2" borderId="28" xfId="0" applyNumberFormat="1" applyFont="1" applyFill="1" applyBorder="1" applyAlignment="1"/>
    <xf numFmtId="3" fontId="2" fillId="0" borderId="0" xfId="0" applyNumberFormat="1" applyFont="1" applyAlignment="1"/>
    <xf numFmtId="49" fontId="9" fillId="2" borderId="18" xfId="0" applyNumberFormat="1" applyFont="1" applyFill="1" applyBorder="1" applyAlignment="1">
      <alignment horizontal="center" wrapText="1"/>
    </xf>
    <xf numFmtId="49" fontId="19" fillId="5" borderId="20" xfId="0" applyNumberFormat="1" applyFont="1" applyFill="1" applyBorder="1" applyAlignment="1">
      <alignment horizontal="center" wrapText="1"/>
    </xf>
    <xf numFmtId="0" fontId="2" fillId="0" borderId="0" xfId="0" applyNumberFormat="1" applyFont="1" applyAlignment="1"/>
    <xf numFmtId="0" fontId="2" fillId="0" borderId="0" xfId="0" applyFont="1" applyAlignment="1"/>
    <xf numFmtId="0" fontId="2" fillId="6" borderId="21" xfId="0" applyNumberFormat="1" applyFont="1" applyFill="1" applyBorder="1" applyAlignment="1"/>
    <xf numFmtId="166" fontId="9" fillId="6" borderId="22" xfId="0" applyNumberFormat="1" applyFont="1" applyFill="1" applyBorder="1" applyAlignment="1"/>
    <xf numFmtId="49" fontId="9" fillId="2" borderId="15" xfId="0" applyNumberFormat="1" applyFont="1" applyFill="1" applyBorder="1" applyAlignment="1"/>
    <xf numFmtId="0" fontId="2" fillId="2" borderId="15" xfId="0" applyFont="1" applyFill="1" applyBorder="1" applyAlignment="1"/>
    <xf numFmtId="0" fontId="2" fillId="2" borderId="1" xfId="0" applyFont="1" applyFill="1" applyBorder="1" applyAlignment="1"/>
    <xf numFmtId="0" fontId="15" fillId="2" borderId="1" xfId="0" applyFont="1" applyFill="1" applyBorder="1" applyAlignment="1"/>
    <xf numFmtId="0" fontId="15" fillId="0" borderId="0" xfId="0" applyNumberFormat="1" applyFont="1" applyAlignment="1"/>
    <xf numFmtId="0" fontId="20" fillId="0" borderId="0" xfId="0" applyNumberFormat="1" applyFont="1" applyAlignment="1"/>
    <xf numFmtId="0" fontId="2" fillId="2" borderId="15" xfId="0" applyFont="1" applyFill="1" applyBorder="1" applyAlignment="1">
      <alignment horizontal="left" wrapText="1"/>
    </xf>
    <xf numFmtId="0" fontId="2" fillId="0" borderId="0" xfId="0" applyNumberFormat="1" applyFont="1" applyAlignment="1">
      <alignment vertical="top"/>
    </xf>
    <xf numFmtId="0" fontId="2" fillId="0" borderId="0" xfId="0" applyFont="1" applyAlignment="1">
      <alignment vertical="top"/>
    </xf>
    <xf numFmtId="0" fontId="0" fillId="0" borderId="13" xfId="0" applyNumberFormat="1" applyFont="1" applyBorder="1" applyAlignment="1"/>
    <xf numFmtId="0" fontId="0" fillId="0" borderId="29" xfId="0" applyFont="1" applyBorder="1" applyAlignment="1"/>
    <xf numFmtId="49" fontId="23" fillId="2" borderId="29" xfId="0" applyNumberFormat="1" applyFont="1" applyFill="1" applyBorder="1" applyAlignment="1"/>
    <xf numFmtId="0" fontId="0" fillId="2" borderId="29" xfId="0" applyFont="1" applyFill="1" applyBorder="1" applyAlignment="1"/>
    <xf numFmtId="49" fontId="21" fillId="2" borderId="29" xfId="0" applyNumberFormat="1" applyFont="1" applyFill="1" applyBorder="1" applyAlignment="1"/>
    <xf numFmtId="165" fontId="0" fillId="2" borderId="29" xfId="0" applyNumberFormat="1" applyFont="1" applyFill="1" applyBorder="1" applyAlignment="1">
      <alignment horizontal="left"/>
    </xf>
    <xf numFmtId="0" fontId="25" fillId="2" borderId="29" xfId="0" applyFont="1" applyFill="1" applyBorder="1" applyAlignment="1"/>
    <xf numFmtId="49" fontId="4" fillId="2" borderId="29" xfId="0" applyNumberFormat="1" applyFont="1" applyFill="1" applyBorder="1" applyAlignment="1">
      <alignment horizontal="center"/>
    </xf>
    <xf numFmtId="0" fontId="0" fillId="0" borderId="29" xfId="0" applyNumberFormat="1" applyFont="1" applyBorder="1" applyAlignment="1"/>
    <xf numFmtId="0" fontId="0" fillId="0" borderId="29" xfId="0" applyFont="1" applyFill="1" applyBorder="1" applyAlignment="1">
      <alignment horizontal="left"/>
    </xf>
    <xf numFmtId="0" fontId="2" fillId="2" borderId="29" xfId="0" applyFont="1" applyFill="1" applyBorder="1" applyAlignment="1"/>
    <xf numFmtId="0" fontId="21" fillId="0" borderId="29" xfId="0" applyFont="1" applyFill="1" applyBorder="1" applyAlignment="1">
      <alignment horizontal="left"/>
    </xf>
    <xf numFmtId="0" fontId="2" fillId="2" borderId="29" xfId="0" applyFont="1" applyFill="1" applyBorder="1" applyAlignment="1">
      <alignment horizontal="left"/>
    </xf>
    <xf numFmtId="165" fontId="3" fillId="0" borderId="29" xfId="0" applyNumberFormat="1" applyFont="1" applyFill="1" applyBorder="1" applyAlignment="1"/>
    <xf numFmtId="165" fontId="0" fillId="0" borderId="29" xfId="0" applyNumberFormat="1" applyFont="1" applyFill="1" applyBorder="1" applyAlignment="1">
      <alignment horizontal="left"/>
    </xf>
    <xf numFmtId="0" fontId="0" fillId="2" borderId="29" xfId="0" applyFont="1" applyFill="1" applyBorder="1" applyAlignment="1">
      <alignment horizontal="left"/>
    </xf>
    <xf numFmtId="0" fontId="26" fillId="2" borderId="29" xfId="0" applyFont="1" applyFill="1" applyBorder="1" applyAlignment="1">
      <alignment horizontal="left"/>
    </xf>
    <xf numFmtId="42" fontId="0" fillId="0" borderId="29" xfId="0" applyNumberFormat="1" applyFont="1" applyBorder="1" applyAlignment="1"/>
    <xf numFmtId="0" fontId="25" fillId="2" borderId="29" xfId="0" applyFont="1" applyFill="1" applyBorder="1" applyAlignment="1">
      <alignment horizontal="left"/>
    </xf>
    <xf numFmtId="0" fontId="25" fillId="0" borderId="29" xfId="0" applyFont="1" applyFill="1" applyBorder="1" applyAlignment="1">
      <alignment horizontal="left"/>
    </xf>
    <xf numFmtId="49" fontId="9" fillId="6" borderId="29" xfId="0" applyNumberFormat="1" applyFont="1" applyFill="1" applyBorder="1" applyAlignment="1"/>
    <xf numFmtId="0" fontId="2" fillId="6" borderId="29" xfId="0" applyNumberFormat="1" applyFont="1" applyFill="1" applyBorder="1" applyAlignment="1">
      <alignment wrapText="1"/>
    </xf>
    <xf numFmtId="49" fontId="22" fillId="2" borderId="29" xfId="0" applyNumberFormat="1" applyFont="1" applyFill="1" applyBorder="1" applyAlignment="1"/>
    <xf numFmtId="164" fontId="2" fillId="0" borderId="29" xfId="0" applyNumberFormat="1" applyFont="1" applyFill="1" applyBorder="1" applyAlignment="1"/>
    <xf numFmtId="0" fontId="2" fillId="0" borderId="29" xfId="0" applyNumberFormat="1" applyFont="1" applyBorder="1" applyAlignment="1"/>
    <xf numFmtId="0" fontId="21" fillId="2" borderId="29" xfId="0" applyFont="1" applyFill="1" applyBorder="1" applyAlignment="1"/>
    <xf numFmtId="49" fontId="24" fillId="2" borderId="29" xfId="0" applyNumberFormat="1" applyFont="1" applyFill="1" applyBorder="1" applyAlignment="1"/>
    <xf numFmtId="49" fontId="2" fillId="2" borderId="29" xfId="0" applyNumberFormat="1" applyFont="1" applyFill="1" applyBorder="1" applyAlignment="1">
      <alignment wrapText="1"/>
    </xf>
    <xf numFmtId="0" fontId="2" fillId="2" borderId="29" xfId="0" applyFont="1" applyFill="1" applyBorder="1"/>
    <xf numFmtId="49" fontId="24" fillId="0" borderId="29" xfId="0" applyNumberFormat="1" applyFont="1" applyFill="1" applyBorder="1" applyAlignment="1"/>
    <xf numFmtId="49" fontId="24" fillId="2" borderId="29" xfId="0" applyNumberFormat="1" applyFont="1" applyFill="1" applyBorder="1" applyAlignment="1">
      <alignment vertical="top"/>
    </xf>
    <xf numFmtId="49" fontId="2" fillId="2" borderId="29" xfId="0" applyNumberFormat="1" applyFont="1" applyFill="1" applyBorder="1" applyAlignment="1">
      <alignment vertical="top"/>
    </xf>
    <xf numFmtId="49" fontId="24" fillId="2" borderId="29" xfId="0" applyNumberFormat="1" applyFont="1" applyFill="1" applyBorder="1" applyAlignment="1">
      <alignment horizontal="left" vertical="top"/>
    </xf>
    <xf numFmtId="49" fontId="24" fillId="0" borderId="29" xfId="0" applyNumberFormat="1" applyFont="1" applyFill="1" applyBorder="1" applyAlignment="1">
      <alignment horizontal="left" vertical="top"/>
    </xf>
    <xf numFmtId="49" fontId="21" fillId="2" borderId="29" xfId="0" applyNumberFormat="1" applyFont="1" applyFill="1" applyBorder="1" applyAlignment="1">
      <alignment vertical="top"/>
    </xf>
    <xf numFmtId="166" fontId="9" fillId="0" borderId="29" xfId="0" applyNumberFormat="1" applyFont="1" applyFill="1" applyBorder="1" applyAlignment="1"/>
    <xf numFmtId="49" fontId="2" fillId="2" borderId="29" xfId="0" applyNumberFormat="1" applyFont="1" applyFill="1" applyBorder="1" applyAlignment="1"/>
    <xf numFmtId="49" fontId="24" fillId="0" borderId="29" xfId="0" applyNumberFormat="1" applyFont="1" applyFill="1" applyBorder="1" applyAlignment="1">
      <alignment horizontal="left"/>
    </xf>
    <xf numFmtId="49" fontId="24" fillId="2" borderId="29" xfId="0" applyNumberFormat="1" applyFont="1" applyFill="1" applyBorder="1" applyAlignment="1">
      <alignment horizontal="left" wrapText="1"/>
    </xf>
    <xf numFmtId="49" fontId="24" fillId="2" borderId="29" xfId="0" applyNumberFormat="1" applyFont="1" applyFill="1" applyBorder="1" applyAlignment="1">
      <alignment horizontal="left"/>
    </xf>
    <xf numFmtId="49" fontId="2" fillId="0" borderId="29" xfId="0" applyNumberFormat="1" applyFont="1" applyFill="1" applyBorder="1" applyAlignment="1">
      <alignment vertical="top"/>
    </xf>
    <xf numFmtId="0" fontId="2" fillId="2" borderId="29" xfId="0" applyFont="1" applyFill="1" applyBorder="1" applyAlignment="1">
      <alignment vertical="top"/>
    </xf>
    <xf numFmtId="0" fontId="2" fillId="0" borderId="29" xfId="0" applyFont="1" applyFill="1" applyBorder="1" applyAlignment="1"/>
    <xf numFmtId="49" fontId="24" fillId="0" borderId="29" xfId="0" applyNumberFormat="1" applyFont="1" applyFill="1" applyBorder="1" applyAlignment="1">
      <alignment vertical="top"/>
    </xf>
    <xf numFmtId="49" fontId="24" fillId="2" borderId="29" xfId="0" applyNumberFormat="1" applyFont="1" applyFill="1" applyBorder="1" applyAlignment="1">
      <alignment horizontal="left" vertical="top" wrapText="1"/>
    </xf>
    <xf numFmtId="49" fontId="24" fillId="2" borderId="29" xfId="0" applyNumberFormat="1" applyFont="1" applyFill="1" applyBorder="1" applyAlignment="1">
      <alignment vertical="top" wrapText="1"/>
    </xf>
    <xf numFmtId="49" fontId="2" fillId="0" borderId="29" xfId="0" applyNumberFormat="1" applyFont="1" applyFill="1" applyBorder="1" applyAlignment="1"/>
    <xf numFmtId="0" fontId="2" fillId="0" borderId="29" xfId="0" applyNumberFormat="1" applyFont="1" applyFill="1" applyBorder="1" applyAlignment="1"/>
    <xf numFmtId="3" fontId="2" fillId="0" borderId="29" xfId="0" applyNumberFormat="1" applyFont="1" applyFill="1" applyBorder="1" applyAlignment="1">
      <alignment vertical="top"/>
    </xf>
    <xf numFmtId="42" fontId="0" fillId="0" borderId="29" xfId="0" applyNumberFormat="1" applyFont="1" applyFill="1" applyBorder="1" applyAlignment="1"/>
    <xf numFmtId="49" fontId="9" fillId="2" borderId="29" xfId="0" applyNumberFormat="1" applyFont="1" applyFill="1" applyBorder="1" applyAlignment="1">
      <alignment horizontal="left" vertical="top"/>
    </xf>
    <xf numFmtId="49" fontId="9" fillId="2" borderId="29" xfId="0" applyNumberFormat="1" applyFont="1" applyFill="1" applyBorder="1" applyAlignment="1">
      <alignment horizontal="left" vertical="top" wrapText="1"/>
    </xf>
    <xf numFmtId="0" fontId="32" fillId="0" borderId="29" xfId="0" applyFont="1" applyBorder="1" applyAlignment="1">
      <alignment horizontal="left" vertical="top"/>
    </xf>
    <xf numFmtId="0" fontId="0" fillId="0" borderId="29" xfId="0" applyFont="1" applyBorder="1" applyAlignment="1">
      <alignment horizontal="left" vertical="top" wrapText="1"/>
    </xf>
    <xf numFmtId="0" fontId="0" fillId="0" borderId="29" xfId="0" applyFont="1" applyBorder="1" applyAlignment="1">
      <alignment horizontal="left" vertical="top"/>
    </xf>
    <xf numFmtId="0" fontId="9" fillId="2" borderId="29" xfId="0" applyFont="1" applyFill="1" applyBorder="1" applyAlignment="1">
      <alignment horizontal="left" vertical="top"/>
    </xf>
    <xf numFmtId="0" fontId="2" fillId="2" borderId="29" xfId="0" applyFont="1" applyFill="1" applyBorder="1" applyAlignment="1">
      <alignment horizontal="left" vertical="top"/>
    </xf>
    <xf numFmtId="0" fontId="2" fillId="0" borderId="29" xfId="0" applyFont="1" applyFill="1" applyBorder="1" applyAlignment="1">
      <alignment horizontal="left" vertical="top"/>
    </xf>
    <xf numFmtId="49" fontId="31" fillId="7" borderId="29" xfId="0" applyNumberFormat="1" applyFont="1" applyFill="1" applyBorder="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49" fontId="30" fillId="2" borderId="29" xfId="0" applyNumberFormat="1" applyFont="1" applyFill="1" applyBorder="1" applyAlignment="1">
      <alignment horizontal="left" vertical="top"/>
    </xf>
    <xf numFmtId="49" fontId="2" fillId="0" borderId="29" xfId="0" applyNumberFormat="1" applyFont="1" applyFill="1" applyBorder="1" applyAlignment="1">
      <alignment horizontal="left" vertical="top" wrapText="1"/>
    </xf>
    <xf numFmtId="49" fontId="2" fillId="2" borderId="29" xfId="0" applyNumberFormat="1" applyFont="1" applyFill="1" applyBorder="1" applyAlignment="1">
      <alignment horizontal="left" vertical="top"/>
    </xf>
    <xf numFmtId="49" fontId="21" fillId="2" borderId="29" xfId="0" applyNumberFormat="1" applyFont="1" applyFill="1" applyBorder="1" applyAlignment="1">
      <alignment horizontal="left" vertical="top"/>
    </xf>
    <xf numFmtId="49" fontId="9" fillId="0" borderId="29" xfId="0" applyNumberFormat="1" applyFont="1" applyFill="1" applyBorder="1" applyAlignment="1">
      <alignment horizontal="left" vertical="top"/>
    </xf>
    <xf numFmtId="0" fontId="24" fillId="0" borderId="29" xfId="0" applyNumberFormat="1" applyFont="1" applyFill="1" applyBorder="1" applyAlignment="1">
      <alignment horizontal="left" vertical="top" wrapText="1"/>
    </xf>
    <xf numFmtId="49" fontId="2" fillId="2" borderId="29" xfId="0" applyNumberFormat="1" applyFont="1" applyFill="1" applyBorder="1" applyAlignment="1">
      <alignment horizontal="left" vertical="top" wrapText="1"/>
    </xf>
    <xf numFmtId="49" fontId="2" fillId="0" borderId="29" xfId="0" applyNumberFormat="1" applyFont="1" applyFill="1" applyBorder="1" applyAlignment="1">
      <alignment horizontal="left" vertical="top"/>
    </xf>
    <xf numFmtId="0" fontId="21" fillId="2" borderId="29" xfId="0" applyFont="1" applyFill="1" applyBorder="1" applyAlignment="1">
      <alignment horizontal="left" vertical="top"/>
    </xf>
    <xf numFmtId="0" fontId="30" fillId="2" borderId="29" xfId="0" applyFont="1" applyFill="1" applyBorder="1" applyAlignment="1">
      <alignment horizontal="left" vertical="top"/>
    </xf>
    <xf numFmtId="49" fontId="33" fillId="2" borderId="29" xfId="0" applyNumberFormat="1" applyFont="1" applyFill="1" applyBorder="1" applyAlignment="1">
      <alignment horizontal="left" vertical="top" wrapText="1"/>
    </xf>
    <xf numFmtId="49" fontId="24" fillId="0" borderId="29" xfId="0" applyNumberFormat="1" applyFont="1" applyFill="1" applyBorder="1" applyAlignment="1">
      <alignment horizontal="left" vertical="top" wrapText="1"/>
    </xf>
    <xf numFmtId="0" fontId="9" fillId="2" borderId="29" xfId="0" applyNumberFormat="1" applyFont="1" applyFill="1" applyBorder="1" applyAlignment="1">
      <alignment horizontal="left" vertical="top"/>
    </xf>
    <xf numFmtId="0" fontId="2" fillId="0" borderId="29" xfId="0" applyNumberFormat="1" applyFont="1" applyBorder="1" applyAlignment="1">
      <alignment horizontal="left" vertical="top" wrapText="1"/>
    </xf>
    <xf numFmtId="0" fontId="24" fillId="2" borderId="29" xfId="0" applyNumberFormat="1" applyFont="1" applyFill="1" applyBorder="1" applyAlignment="1">
      <alignment horizontal="left" vertical="top" wrapText="1"/>
    </xf>
    <xf numFmtId="49" fontId="15" fillId="2" borderId="29" xfId="0" applyNumberFormat="1" applyFont="1" applyFill="1" applyBorder="1" applyAlignment="1">
      <alignment horizontal="right" wrapText="1"/>
    </xf>
    <xf numFmtId="42" fontId="0" fillId="0" borderId="29" xfId="0" applyNumberFormat="1" applyFont="1" applyBorder="1" applyAlignment="1">
      <alignment horizontal="left" vertical="top"/>
    </xf>
    <xf numFmtId="42" fontId="15" fillId="7" borderId="29" xfId="0" applyNumberFormat="1" applyFont="1" applyFill="1" applyBorder="1" applyAlignment="1">
      <alignment horizontal="left" vertical="top"/>
    </xf>
    <xf numFmtId="42" fontId="15" fillId="2" borderId="29" xfId="0" applyNumberFormat="1" applyFont="1" applyFill="1" applyBorder="1"/>
    <xf numFmtId="0" fontId="24" fillId="0" borderId="29" xfId="0" applyNumberFormat="1" applyFont="1" applyBorder="1" applyAlignment="1">
      <alignment horizontal="left" vertical="top" wrapText="1"/>
    </xf>
    <xf numFmtId="0" fontId="27" fillId="7" borderId="29" xfId="0" applyFont="1" applyFill="1" applyBorder="1" applyAlignment="1">
      <alignment horizontal="left" vertical="top" wrapText="1"/>
    </xf>
    <xf numFmtId="42" fontId="0" fillId="0" borderId="29" xfId="0" applyNumberFormat="1" applyFont="1" applyBorder="1" applyAlignment="1">
      <alignment horizontal="center" vertical="top"/>
    </xf>
    <xf numFmtId="42" fontId="3" fillId="7" borderId="29" xfId="0" applyNumberFormat="1" applyFont="1" applyFill="1" applyBorder="1" applyAlignment="1">
      <alignment horizontal="left" vertical="top"/>
    </xf>
    <xf numFmtId="42" fontId="2" fillId="2" borderId="29" xfId="0" applyNumberFormat="1" applyFont="1" applyFill="1" applyBorder="1" applyAlignment="1">
      <alignment vertical="top"/>
    </xf>
    <xf numFmtId="42" fontId="2" fillId="0" borderId="29" xfId="0" applyNumberFormat="1" applyFont="1" applyFill="1" applyBorder="1"/>
    <xf numFmtId="164" fontId="31" fillId="7" borderId="29" xfId="0" applyNumberFormat="1" applyFont="1" applyFill="1" applyBorder="1" applyAlignment="1">
      <alignment horizontal="right" wrapText="1"/>
    </xf>
    <xf numFmtId="42" fontId="2" fillId="0" borderId="29" xfId="0" applyNumberFormat="1" applyFont="1" applyFill="1" applyBorder="1" applyAlignment="1">
      <alignment vertical="top"/>
    </xf>
    <xf numFmtId="42" fontId="2" fillId="0" borderId="29" xfId="0" applyNumberFormat="1" applyFont="1" applyBorder="1" applyAlignment="1"/>
    <xf numFmtId="42" fontId="2" fillId="0" borderId="29" xfId="0" applyNumberFormat="1" applyFont="1" applyBorder="1" applyAlignment="1">
      <alignment vertical="top"/>
    </xf>
    <xf numFmtId="42" fontId="2" fillId="0" borderId="13" xfId="0" applyNumberFormat="1" applyFont="1" applyFill="1" applyBorder="1" applyAlignment="1"/>
    <xf numFmtId="165" fontId="2" fillId="0" borderId="29" xfId="0" applyNumberFormat="1" applyFont="1" applyFill="1" applyBorder="1" applyAlignment="1">
      <alignment horizontal="right"/>
    </xf>
    <xf numFmtId="42" fontId="2" fillId="0" borderId="29" xfId="0" applyNumberFormat="1" applyFont="1" applyFill="1" applyBorder="1" applyAlignment="1">
      <alignment horizontal="right"/>
    </xf>
    <xf numFmtId="0" fontId="0" fillId="0" borderId="31" xfId="0" applyNumberFormat="1" applyFont="1" applyBorder="1" applyAlignment="1"/>
    <xf numFmtId="42" fontId="0" fillId="0" borderId="29" xfId="0" applyNumberFormat="1" applyFill="1" applyBorder="1"/>
    <xf numFmtId="0" fontId="0" fillId="2" borderId="31" xfId="0" applyFont="1" applyFill="1" applyBorder="1" applyAlignment="1"/>
    <xf numFmtId="165" fontId="2" fillId="2" borderId="31" xfId="0" applyNumberFormat="1" applyFont="1" applyFill="1" applyBorder="1" applyAlignment="1">
      <alignment horizontal="right"/>
    </xf>
    <xf numFmtId="3" fontId="0" fillId="0" borderId="29" xfId="0" applyNumberFormat="1" applyFont="1" applyFill="1" applyBorder="1" applyAlignment="1"/>
    <xf numFmtId="49" fontId="34" fillId="2" borderId="31" xfId="0" applyNumberFormat="1" applyFont="1" applyFill="1" applyBorder="1" applyAlignment="1">
      <alignment horizontal="center" vertical="center" wrapText="1"/>
    </xf>
    <xf numFmtId="49" fontId="9" fillId="2" borderId="29" xfId="0" applyNumberFormat="1" applyFont="1" applyFill="1" applyBorder="1" applyAlignment="1">
      <alignment horizontal="center" vertical="center" wrapText="1"/>
    </xf>
    <xf numFmtId="42" fontId="2" fillId="0" borderId="29" xfId="0" applyNumberFormat="1" applyFont="1" applyFill="1" applyBorder="1" applyAlignment="1"/>
    <xf numFmtId="42" fontId="2" fillId="0" borderId="31" xfId="0" applyNumberFormat="1" applyFont="1" applyFill="1" applyBorder="1" applyAlignment="1"/>
    <xf numFmtId="42" fontId="9" fillId="0" borderId="29" xfId="0" applyNumberFormat="1" applyFont="1" applyFill="1" applyBorder="1" applyAlignment="1"/>
    <xf numFmtId="42" fontId="2" fillId="2" borderId="29" xfId="0" applyNumberFormat="1" applyFont="1" applyFill="1" applyBorder="1" applyAlignment="1"/>
    <xf numFmtId="42" fontId="21" fillId="0" borderId="29" xfId="0" applyNumberFormat="1" applyFont="1" applyFill="1" applyBorder="1" applyAlignment="1"/>
    <xf numFmtId="42" fontId="9" fillId="0" borderId="29" xfId="0" applyNumberFormat="1" applyFont="1" applyFill="1" applyBorder="1" applyAlignment="1">
      <alignment vertical="top"/>
    </xf>
    <xf numFmtId="42" fontId="21" fillId="0" borderId="29" xfId="0" applyNumberFormat="1" applyFont="1" applyFill="1" applyBorder="1"/>
    <xf numFmtId="42" fontId="2" fillId="0" borderId="0" xfId="0" applyNumberFormat="1" applyFont="1" applyAlignment="1"/>
    <xf numFmtId="49" fontId="9" fillId="2" borderId="29" xfId="0" applyNumberFormat="1" applyFont="1" applyFill="1" applyBorder="1" applyAlignment="1">
      <alignment horizontal="center" vertical="center"/>
    </xf>
    <xf numFmtId="42" fontId="3" fillId="7" borderId="29" xfId="0" applyNumberFormat="1" applyFont="1" applyFill="1" applyBorder="1" applyAlignment="1"/>
    <xf numFmtId="42" fontId="3" fillId="9" borderId="29" xfId="0" applyNumberFormat="1" applyFont="1" applyFill="1" applyBorder="1" applyAlignment="1"/>
    <xf numFmtId="0" fontId="35" fillId="0" borderId="29" xfId="0" applyFont="1" applyFill="1" applyBorder="1" applyAlignment="1"/>
    <xf numFmtId="0" fontId="2" fillId="0" borderId="0" xfId="0" applyNumberFormat="1" applyFont="1" applyFill="1" applyAlignment="1"/>
    <xf numFmtId="49" fontId="9" fillId="0" borderId="29" xfId="0" applyNumberFormat="1" applyFont="1" applyFill="1" applyBorder="1" applyAlignment="1">
      <alignment vertical="top"/>
    </xf>
    <xf numFmtId="165" fontId="0" fillId="0" borderId="31" xfId="0" applyNumberFormat="1" applyFont="1" applyFill="1" applyBorder="1" applyAlignment="1">
      <alignment horizontal="left"/>
    </xf>
    <xf numFmtId="42" fontId="0" fillId="0" borderId="31" xfId="0" applyNumberFormat="1" applyFont="1" applyBorder="1" applyAlignment="1"/>
    <xf numFmtId="42" fontId="0" fillId="11" borderId="29" xfId="0" applyNumberFormat="1" applyFont="1" applyFill="1" applyBorder="1" applyAlignment="1"/>
    <xf numFmtId="165" fontId="0" fillId="11" borderId="29" xfId="0" applyNumberFormat="1" applyFont="1" applyFill="1" applyBorder="1" applyAlignment="1">
      <alignment horizontal="left"/>
    </xf>
    <xf numFmtId="0" fontId="25" fillId="12" borderId="29" xfId="0" applyFont="1" applyFill="1" applyBorder="1" applyAlignment="1">
      <alignment horizontal="left"/>
    </xf>
    <xf numFmtId="165" fontId="0" fillId="12" borderId="29" xfId="0" applyNumberFormat="1" applyFont="1" applyFill="1" applyBorder="1" applyAlignment="1">
      <alignment horizontal="left"/>
    </xf>
    <xf numFmtId="42" fontId="0" fillId="12" borderId="31" xfId="0" applyNumberFormat="1" applyFont="1" applyFill="1" applyBorder="1" applyAlignment="1"/>
    <xf numFmtId="0" fontId="0" fillId="12" borderId="29" xfId="0" applyFont="1" applyFill="1" applyBorder="1" applyAlignment="1"/>
    <xf numFmtId="0" fontId="27" fillId="12" borderId="29" xfId="0" applyFont="1" applyFill="1" applyBorder="1" applyAlignment="1">
      <alignment horizontal="right"/>
    </xf>
    <xf numFmtId="165" fontId="0" fillId="12" borderId="31" xfId="0" applyNumberFormat="1" applyFont="1" applyFill="1" applyBorder="1" applyAlignment="1"/>
    <xf numFmtId="49" fontId="36" fillId="12" borderId="29" xfId="0" applyNumberFormat="1" applyFont="1" applyFill="1" applyBorder="1" applyAlignment="1">
      <alignment horizontal="right"/>
    </xf>
    <xf numFmtId="0" fontId="2" fillId="8" borderId="29" xfId="0" applyFont="1" applyFill="1" applyBorder="1" applyAlignment="1"/>
    <xf numFmtId="49" fontId="15" fillId="8" borderId="29" xfId="0" applyNumberFormat="1" applyFont="1" applyFill="1" applyBorder="1" applyAlignment="1">
      <alignment horizontal="right"/>
    </xf>
    <xf numFmtId="42" fontId="2" fillId="8" borderId="29" xfId="0" applyNumberFormat="1" applyFont="1" applyFill="1" applyBorder="1" applyAlignment="1"/>
    <xf numFmtId="0" fontId="9" fillId="8" borderId="29" xfId="0" applyFont="1" applyFill="1" applyBorder="1" applyAlignment="1"/>
    <xf numFmtId="0" fontId="9" fillId="8" borderId="29" xfId="0" applyNumberFormat="1" applyFont="1" applyFill="1" applyBorder="1" applyAlignment="1">
      <alignment horizontal="right"/>
    </xf>
    <xf numFmtId="42" fontId="9" fillId="8" borderId="29" xfId="0" applyNumberFormat="1" applyFont="1" applyFill="1" applyBorder="1" applyAlignment="1"/>
    <xf numFmtId="49" fontId="37" fillId="8" borderId="29" xfId="0" applyNumberFormat="1" applyFont="1" applyFill="1" applyBorder="1" applyAlignment="1">
      <alignment horizontal="right"/>
    </xf>
    <xf numFmtId="0" fontId="2" fillId="8" borderId="29" xfId="0" applyNumberFormat="1" applyFont="1" applyFill="1" applyBorder="1" applyAlignment="1"/>
    <xf numFmtId="165" fontId="0" fillId="8" borderId="29" xfId="0" applyNumberFormat="1" applyFont="1" applyFill="1" applyBorder="1" applyAlignment="1">
      <alignment horizontal="left"/>
    </xf>
    <xf numFmtId="0" fontId="2" fillId="12" borderId="29" xfId="0" applyNumberFormat="1" applyFont="1" applyFill="1" applyBorder="1" applyAlignment="1"/>
    <xf numFmtId="49" fontId="15" fillId="12" borderId="29" xfId="0" applyNumberFormat="1" applyFont="1" applyFill="1" applyBorder="1" applyAlignment="1">
      <alignment horizontal="right"/>
    </xf>
    <xf numFmtId="42" fontId="2" fillId="0" borderId="0" xfId="0" applyNumberFormat="1" applyFont="1" applyFill="1" applyAlignment="1"/>
    <xf numFmtId="0" fontId="39" fillId="0" borderId="29" xfId="0" applyFont="1" applyBorder="1" applyAlignment="1">
      <alignment horizontal="right" vertical="top" wrapText="1"/>
    </xf>
    <xf numFmtId="0" fontId="31" fillId="0" borderId="29" xfId="0" applyNumberFormat="1" applyFont="1" applyBorder="1" applyAlignment="1">
      <alignment horizontal="right"/>
    </xf>
    <xf numFmtId="0" fontId="2" fillId="0" borderId="33" xfId="0" applyNumberFormat="1" applyFont="1" applyBorder="1" applyAlignment="1"/>
    <xf numFmtId="0" fontId="2" fillId="0" borderId="34" xfId="0" applyNumberFormat="1" applyFont="1" applyBorder="1" applyAlignment="1"/>
    <xf numFmtId="0" fontId="31" fillId="0" borderId="35" xfId="0" applyFont="1" applyBorder="1" applyAlignment="1">
      <alignment horizontal="right" vertical="top" wrapText="1"/>
    </xf>
    <xf numFmtId="42" fontId="2" fillId="0" borderId="35" xfId="0" applyNumberFormat="1" applyFont="1" applyBorder="1" applyAlignment="1">
      <alignment vertical="top"/>
    </xf>
    <xf numFmtId="0" fontId="2" fillId="0" borderId="32" xfId="0" applyNumberFormat="1" applyFont="1" applyBorder="1" applyAlignment="1"/>
    <xf numFmtId="0" fontId="39" fillId="0" borderId="30" xfId="0" applyFont="1" applyBorder="1" applyAlignment="1">
      <alignment horizontal="right" vertical="top" wrapText="1"/>
    </xf>
    <xf numFmtId="42" fontId="2" fillId="0" borderId="30" xfId="0" applyNumberFormat="1" applyFont="1" applyBorder="1" applyAlignment="1">
      <alignment vertical="top"/>
    </xf>
    <xf numFmtId="0" fontId="2" fillId="0" borderId="36" xfId="0" applyNumberFormat="1" applyFont="1" applyBorder="1" applyAlignment="1"/>
    <xf numFmtId="0" fontId="38" fillId="10" borderId="37" xfId="0" applyFont="1" applyFill="1" applyBorder="1" applyAlignment="1">
      <alignment horizontal="center" vertical="top" wrapText="1"/>
    </xf>
    <xf numFmtId="42" fontId="2" fillId="10" borderId="37" xfId="0" applyNumberFormat="1" applyFont="1" applyFill="1" applyBorder="1" applyAlignment="1">
      <alignment vertical="top"/>
    </xf>
    <xf numFmtId="42" fontId="2" fillId="0" borderId="30" xfId="0" applyNumberFormat="1" applyFont="1" applyFill="1" applyBorder="1" applyAlignment="1">
      <alignment vertical="top"/>
    </xf>
    <xf numFmtId="42" fontId="2" fillId="0" borderId="38" xfId="0" applyNumberFormat="1" applyFont="1" applyFill="1" applyBorder="1" applyAlignment="1">
      <alignment vertical="top"/>
    </xf>
    <xf numFmtId="0" fontId="0" fillId="0" borderId="29" xfId="0" applyNumberFormat="1" applyFont="1" applyFill="1" applyBorder="1" applyAlignment="1"/>
    <xf numFmtId="42" fontId="25" fillId="0" borderId="29" xfId="0" applyNumberFormat="1" applyFont="1" applyFill="1" applyBorder="1" applyAlignment="1"/>
    <xf numFmtId="42" fontId="0" fillId="12" borderId="29" xfId="0" applyNumberFormat="1" applyFont="1" applyFill="1" applyBorder="1" applyAlignment="1"/>
    <xf numFmtId="0" fontId="0" fillId="11" borderId="29" xfId="0" applyNumberFormat="1" applyFont="1" applyFill="1" applyBorder="1" applyAlignment="1"/>
    <xf numFmtId="42" fontId="2" fillId="11" borderId="29" xfId="0" applyNumberFormat="1" applyFont="1" applyFill="1" applyBorder="1" applyAlignment="1"/>
    <xf numFmtId="42" fontId="21" fillId="11" borderId="29" xfId="0" applyNumberFormat="1" applyFont="1" applyFill="1" applyBorder="1" applyAlignment="1"/>
    <xf numFmtId="49" fontId="34" fillId="2" borderId="29" xfId="0" applyNumberFormat="1" applyFont="1" applyFill="1" applyBorder="1" applyAlignment="1">
      <alignment horizontal="center" vertical="center"/>
    </xf>
    <xf numFmtId="49" fontId="34" fillId="2" borderId="29" xfId="0" applyNumberFormat="1" applyFont="1" applyFill="1" applyBorder="1" applyAlignment="1">
      <alignment horizontal="center" vertical="center" wrapText="1"/>
    </xf>
    <xf numFmtId="49" fontId="34" fillId="0" borderId="29" xfId="0" applyNumberFormat="1" applyFont="1" applyFill="1" applyBorder="1" applyAlignment="1">
      <alignment horizontal="center" vertical="center" wrapText="1"/>
    </xf>
    <xf numFmtId="42" fontId="0" fillId="0" borderId="0" xfId="0" applyNumberFormat="1" applyFont="1" applyAlignment="1"/>
    <xf numFmtId="42" fontId="0" fillId="8" borderId="29" xfId="0" applyNumberFormat="1" applyFont="1" applyFill="1" applyBorder="1" applyAlignment="1"/>
    <xf numFmtId="49" fontId="42" fillId="2" borderId="29" xfId="0" applyNumberFormat="1" applyFont="1" applyFill="1" applyBorder="1" applyAlignment="1">
      <alignment horizontal="center" vertical="center" wrapText="1"/>
    </xf>
    <xf numFmtId="49" fontId="42" fillId="0" borderId="29" xfId="0" applyNumberFormat="1" applyFont="1" applyFill="1" applyBorder="1" applyAlignment="1">
      <alignment horizontal="center" vertical="center" wrapText="1"/>
    </xf>
    <xf numFmtId="0" fontId="42" fillId="0" borderId="29" xfId="0" applyNumberFormat="1" applyFont="1" applyBorder="1" applyAlignment="1">
      <alignment horizontal="center" vertical="center" wrapText="1"/>
    </xf>
    <xf numFmtId="0" fontId="42" fillId="0" borderId="29" xfId="0" applyNumberFormat="1" applyFont="1" applyFill="1" applyBorder="1" applyAlignment="1">
      <alignment horizontal="center" vertical="center" wrapText="1"/>
    </xf>
    <xf numFmtId="164" fontId="2" fillId="2" borderId="29" xfId="0" applyNumberFormat="1" applyFont="1" applyFill="1" applyBorder="1" applyAlignment="1"/>
    <xf numFmtId="167" fontId="2" fillId="12" borderId="29" xfId="0" applyNumberFormat="1" applyFont="1" applyFill="1" applyBorder="1" applyAlignment="1"/>
    <xf numFmtId="42" fontId="2" fillId="11" borderId="37" xfId="0" applyNumberFormat="1" applyFont="1" applyFill="1" applyBorder="1" applyAlignment="1">
      <alignment vertical="top"/>
    </xf>
    <xf numFmtId="42" fontId="9" fillId="11" borderId="29" xfId="0" applyNumberFormat="1" applyFont="1" applyFill="1" applyBorder="1" applyAlignment="1"/>
    <xf numFmtId="42" fontId="30" fillId="11" borderId="29" xfId="0" applyNumberFormat="1" applyFont="1" applyFill="1" applyBorder="1" applyAlignment="1">
      <alignment horizontal="center" vertical="center" wrapText="1"/>
    </xf>
    <xf numFmtId="49" fontId="30" fillId="0" borderId="29" xfId="0" applyNumberFormat="1" applyFont="1" applyFill="1" applyBorder="1" applyAlignment="1">
      <alignment horizontal="center" vertical="center" wrapText="1"/>
    </xf>
    <xf numFmtId="42" fontId="0" fillId="13" borderId="29" xfId="0" applyNumberFormat="1" applyFont="1" applyFill="1" applyBorder="1" applyAlignment="1"/>
    <xf numFmtId="0" fontId="34" fillId="11" borderId="29" xfId="0" applyNumberFormat="1" applyFont="1" applyFill="1" applyBorder="1" applyAlignment="1">
      <alignment horizontal="center" vertical="center" wrapText="1"/>
    </xf>
    <xf numFmtId="0" fontId="34" fillId="0" borderId="29" xfId="0" applyNumberFormat="1" applyFont="1" applyBorder="1" applyAlignment="1">
      <alignment horizontal="center" vertical="center"/>
    </xf>
    <xf numFmtId="0" fontId="34" fillId="0" borderId="29" xfId="0" applyNumberFormat="1" applyFont="1" applyFill="1" applyBorder="1" applyAlignment="1">
      <alignment horizontal="center" vertical="center"/>
    </xf>
    <xf numFmtId="0" fontId="44" fillId="0" borderId="29" xfId="0" applyNumberFormat="1" applyFont="1" applyBorder="1" applyAlignment="1">
      <alignment horizontal="center" vertical="center"/>
    </xf>
    <xf numFmtId="0" fontId="44" fillId="0" borderId="29" xfId="0" applyNumberFormat="1" applyFont="1" applyFill="1" applyBorder="1" applyAlignment="1">
      <alignment horizontal="center" vertical="center"/>
    </xf>
    <xf numFmtId="42" fontId="2" fillId="11" borderId="39" xfId="0" applyNumberFormat="1" applyFont="1" applyFill="1" applyBorder="1" applyAlignment="1">
      <alignment vertical="top"/>
    </xf>
    <xf numFmtId="42" fontId="2" fillId="0" borderId="40" xfId="0" applyNumberFormat="1" applyFont="1" applyFill="1" applyBorder="1" applyAlignment="1">
      <alignment vertical="top"/>
    </xf>
    <xf numFmtId="42" fontId="2" fillId="0" borderId="31" xfId="0" applyNumberFormat="1" applyFont="1" applyFill="1" applyBorder="1" applyAlignment="1">
      <alignment vertical="top"/>
    </xf>
    <xf numFmtId="42" fontId="9" fillId="0" borderId="29" xfId="0" applyNumberFormat="1" applyFont="1" applyBorder="1" applyAlignment="1"/>
    <xf numFmtId="42" fontId="2" fillId="11" borderId="41" xfId="0" applyNumberFormat="1" applyFont="1" applyFill="1" applyBorder="1" applyAlignment="1">
      <alignment vertical="top"/>
    </xf>
    <xf numFmtId="42" fontId="2" fillId="0" borderId="42" xfId="0" applyNumberFormat="1" applyFont="1" applyFill="1" applyBorder="1" applyAlignment="1">
      <alignment vertical="top"/>
    </xf>
    <xf numFmtId="42" fontId="2" fillId="0" borderId="43" xfId="0" applyNumberFormat="1" applyFont="1" applyFill="1" applyBorder="1" applyAlignment="1">
      <alignment vertical="top"/>
    </xf>
    <xf numFmtId="42" fontId="2" fillId="0" borderId="43" xfId="0" applyNumberFormat="1" applyFont="1" applyFill="1" applyBorder="1" applyAlignment="1"/>
    <xf numFmtId="42" fontId="2" fillId="0" borderId="44" xfId="0" applyNumberFormat="1" applyFont="1" applyFill="1" applyBorder="1" applyAlignment="1">
      <alignment vertical="top"/>
    </xf>
    <xf numFmtId="0" fontId="2" fillId="0" borderId="13" xfId="0" applyNumberFormat="1" applyFont="1" applyBorder="1" applyAlignment="1"/>
    <xf numFmtId="0" fontId="2" fillId="0" borderId="13" xfId="0" applyNumberFormat="1" applyFont="1" applyFill="1" applyBorder="1" applyAlignment="1"/>
    <xf numFmtId="42" fontId="2" fillId="0" borderId="30" xfId="0" applyNumberFormat="1" applyFont="1" applyBorder="1" applyAlignment="1"/>
    <xf numFmtId="42" fontId="42" fillId="11" borderId="29" xfId="0" applyNumberFormat="1" applyFont="1" applyFill="1" applyBorder="1" applyAlignment="1">
      <alignment horizontal="center" vertical="center" wrapText="1"/>
    </xf>
    <xf numFmtId="42" fontId="2" fillId="11" borderId="29" xfId="0" applyNumberFormat="1" applyFont="1" applyFill="1" applyBorder="1" applyAlignment="1">
      <alignment vertical="top"/>
    </xf>
    <xf numFmtId="42" fontId="9" fillId="10" borderId="29" xfId="0" applyNumberFormat="1" applyFont="1" applyFill="1" applyBorder="1" applyAlignment="1"/>
    <xf numFmtId="42" fontId="2" fillId="10" borderId="29" xfId="0" applyNumberFormat="1" applyFont="1" applyFill="1" applyBorder="1" applyAlignment="1"/>
    <xf numFmtId="42" fontId="2" fillId="10" borderId="29" xfId="0" applyNumberFormat="1" applyFont="1" applyFill="1" applyBorder="1" applyAlignment="1">
      <alignment vertical="top"/>
    </xf>
    <xf numFmtId="166" fontId="2" fillId="0" borderId="29" xfId="0" applyNumberFormat="1" applyFont="1" applyBorder="1" applyAlignment="1"/>
    <xf numFmtId="0" fontId="2" fillId="0" borderId="29" xfId="0" applyFont="1" applyBorder="1" applyAlignment="1"/>
    <xf numFmtId="0" fontId="7" fillId="0" borderId="29" xfId="0" applyNumberFormat="1" applyFont="1" applyBorder="1" applyAlignment="1">
      <alignment horizontal="center" vertical="center"/>
    </xf>
    <xf numFmtId="0" fontId="7" fillId="0" borderId="29" xfId="0" applyNumberFormat="1" applyFont="1" applyFill="1" applyBorder="1" applyAlignment="1">
      <alignment horizontal="center" vertical="center"/>
    </xf>
    <xf numFmtId="0" fontId="23" fillId="14" borderId="29" xfId="0" applyFont="1" applyFill="1" applyBorder="1" applyAlignment="1">
      <alignment horizontal="center" vertical="center"/>
    </xf>
    <xf numFmtId="0" fontId="25" fillId="0" borderId="0" xfId="0" applyFont="1" applyAlignment="1"/>
    <xf numFmtId="0" fontId="0" fillId="0" borderId="0" xfId="0" applyFont="1" applyFill="1" applyAlignment="1"/>
    <xf numFmtId="49" fontId="21" fillId="2" borderId="29" xfId="0" applyNumberFormat="1" applyFont="1" applyFill="1" applyBorder="1" applyAlignment="1">
      <alignment horizontal="left" vertical="top" wrapText="1"/>
    </xf>
    <xf numFmtId="0" fontId="0" fillId="0" borderId="29" xfId="0" applyFont="1" applyFill="1" applyBorder="1" applyAlignment="1"/>
    <xf numFmtId="0" fontId="7" fillId="8" borderId="29" xfId="0" applyFont="1" applyFill="1" applyBorder="1" applyAlignment="1">
      <alignment horizontal="left" vertical="top" wrapText="1"/>
    </xf>
    <xf numFmtId="42" fontId="7" fillId="8" borderId="29" xfId="0" applyNumberFormat="1" applyFont="1" applyFill="1" applyBorder="1" applyAlignment="1"/>
    <xf numFmtId="49" fontId="15" fillId="2" borderId="29" xfId="0" applyNumberFormat="1" applyFont="1" applyFill="1" applyBorder="1" applyAlignment="1">
      <alignment horizontal="left" vertical="top"/>
    </xf>
  </cellXfs>
  <cellStyles count="218">
    <cellStyle name="Followed Hyperlink" xfId="174" builtinId="9" hidden="1"/>
    <cellStyle name="Followed Hyperlink" xfId="214" builtinId="9" hidden="1"/>
    <cellStyle name="Followed Hyperlink" xfId="200" builtinId="9" hidden="1"/>
    <cellStyle name="Followed Hyperlink" xfId="182" builtinId="9" hidden="1"/>
    <cellStyle name="Followed Hyperlink" xfId="190" builtinId="9" hidden="1"/>
    <cellStyle name="Followed Hyperlink" xfId="86" builtinId="9" hidden="1"/>
    <cellStyle name="Followed Hyperlink" xfId="30" builtinId="9" hidden="1"/>
    <cellStyle name="Followed Hyperlink" xfId="44" builtinId="9" hidden="1"/>
    <cellStyle name="Followed Hyperlink" xfId="70" builtinId="9" hidden="1"/>
    <cellStyle name="Followed Hyperlink" xfId="110" builtinId="9" hidden="1"/>
    <cellStyle name="Followed Hyperlink" xfId="10" builtinId="9" hidden="1"/>
    <cellStyle name="Followed Hyperlink" xfId="18" builtinId="9" hidden="1"/>
    <cellStyle name="Followed Hyperlink" xfId="48" builtinId="9" hidden="1"/>
    <cellStyle name="Followed Hyperlink" xfId="90" builtinId="9" hidden="1"/>
    <cellStyle name="Followed Hyperlink" xfId="154" builtinId="9" hidden="1"/>
    <cellStyle name="Followed Hyperlink" xfId="212" builtinId="9" hidden="1"/>
    <cellStyle name="Followed Hyperlink" xfId="136" builtinId="9" hidden="1"/>
    <cellStyle name="Followed Hyperlink" xfId="180" builtinId="9" hidden="1"/>
    <cellStyle name="Followed Hyperlink" xfId="108" builtinId="9" hidden="1"/>
    <cellStyle name="Followed Hyperlink" xfId="80" builtinId="9" hidden="1"/>
    <cellStyle name="Followed Hyperlink" xfId="104" builtinId="9" hidden="1"/>
    <cellStyle name="Followed Hyperlink" xfId="82" builtinId="9" hidden="1"/>
    <cellStyle name="Followed Hyperlink" xfId="114" builtinId="9" hidden="1"/>
    <cellStyle name="Followed Hyperlink" xfId="162" builtinId="9" hidden="1"/>
    <cellStyle name="Followed Hyperlink" xfId="210" builtinId="9" hidden="1"/>
    <cellStyle name="Followed Hyperlink" xfId="112" builtinId="9" hidden="1"/>
    <cellStyle name="Followed Hyperlink" xfId="144" builtinId="9" hidden="1"/>
    <cellStyle name="Followed Hyperlink" xfId="176" builtinId="9" hidden="1"/>
    <cellStyle name="Followed Hyperlink" xfId="188" builtinId="9" hidden="1"/>
    <cellStyle name="Followed Hyperlink" xfId="156" builtinId="9" hidden="1"/>
    <cellStyle name="Followed Hyperlink" xfId="120" builtinId="9" hidden="1"/>
    <cellStyle name="Followed Hyperlink" xfId="130" builtinId="9" hidden="1"/>
    <cellStyle name="Followed Hyperlink" xfId="12" builtinId="9" hidden="1"/>
    <cellStyle name="Followed Hyperlink" xfId="52" builtinId="9" hidden="1"/>
    <cellStyle name="Followed Hyperlink" xfId="32" builtinId="9" hidden="1"/>
    <cellStyle name="Followed Hyperlink" xfId="2" builtinId="9" hidden="1"/>
    <cellStyle name="Followed Hyperlink" xfId="6" builtinId="9" hidden="1"/>
    <cellStyle name="Followed Hyperlink" xfId="16" builtinId="9" hidden="1"/>
    <cellStyle name="Followed Hyperlink" xfId="14" builtinId="9" hidden="1"/>
    <cellStyle name="Followed Hyperlink" xfId="64" builtinId="9" hidden="1"/>
    <cellStyle name="Followed Hyperlink" xfId="42" builtinId="9" hidden="1"/>
    <cellStyle name="Followed Hyperlink" xfId="38" builtinId="9" hidden="1"/>
    <cellStyle name="Followed Hyperlink" xfId="66" builtinId="9" hidden="1"/>
    <cellStyle name="Followed Hyperlink" xfId="194" builtinId="9" hidden="1"/>
    <cellStyle name="Followed Hyperlink" xfId="164" builtinId="9" hidden="1"/>
    <cellStyle name="Followed Hyperlink" xfId="124" builtinId="9" hidden="1"/>
    <cellStyle name="Followed Hyperlink" xfId="184" builtinId="9" hidden="1"/>
    <cellStyle name="Followed Hyperlink" xfId="152" builtinId="9" hidden="1"/>
    <cellStyle name="Followed Hyperlink" xfId="132" builtinId="9" hidden="1"/>
    <cellStyle name="Followed Hyperlink" xfId="204" builtinId="9" hidden="1"/>
    <cellStyle name="Followed Hyperlink" xfId="178" builtinId="9" hidden="1"/>
    <cellStyle name="Followed Hyperlink" xfId="146" builtinId="9" hidden="1"/>
    <cellStyle name="Followed Hyperlink" xfId="98" builtinId="9" hidden="1"/>
    <cellStyle name="Followed Hyperlink" xfId="84" builtinId="9" hidden="1"/>
    <cellStyle name="Followed Hyperlink" xfId="72" builtinId="9" hidden="1"/>
    <cellStyle name="Followed Hyperlink" xfId="100" builtinId="9" hidden="1"/>
    <cellStyle name="Followed Hyperlink" xfId="172" builtinId="9" hidden="1"/>
    <cellStyle name="Followed Hyperlink" xfId="160" builtinId="9" hidden="1"/>
    <cellStyle name="Followed Hyperlink" xfId="116" builtinId="9" hidden="1"/>
    <cellStyle name="Followed Hyperlink" xfId="186" builtinId="9" hidden="1"/>
    <cellStyle name="Followed Hyperlink" xfId="122" builtinId="9" hidden="1"/>
    <cellStyle name="Followed Hyperlink" xfId="26" builtinId="9" hidden="1"/>
    <cellStyle name="Followed Hyperlink" xfId="54" builtinId="9" hidden="1"/>
    <cellStyle name="Followed Hyperlink" xfId="4" builtinId="9" hidden="1"/>
    <cellStyle name="Followed Hyperlink" xfId="134" builtinId="9" hidden="1"/>
    <cellStyle name="Followed Hyperlink" xfId="94" builtinId="9" hidden="1"/>
    <cellStyle name="Followed Hyperlink" xfId="34" builtinId="9" hidden="1"/>
    <cellStyle name="Followed Hyperlink" xfId="60" builtinId="9" hidden="1"/>
    <cellStyle name="Followed Hyperlink" xfId="50" builtinId="9" hidden="1"/>
    <cellStyle name="Followed Hyperlink" xfId="150" builtinId="9" hidden="1"/>
    <cellStyle name="Followed Hyperlink" xfId="166" builtinId="9" hidden="1"/>
    <cellStyle name="Followed Hyperlink" xfId="206" builtinId="9" hidden="1"/>
    <cellStyle name="Followed Hyperlink" xfId="208" builtinId="9" hidden="1"/>
    <cellStyle name="Followed Hyperlink" xfId="158" builtinId="9" hidden="1"/>
    <cellStyle name="Followed Hyperlink" xfId="198" builtinId="9" hidden="1"/>
    <cellStyle name="Followed Hyperlink" xfId="202" builtinId="9" hidden="1"/>
    <cellStyle name="Followed Hyperlink" xfId="170" builtinId="9" hidden="1"/>
    <cellStyle name="Followed Hyperlink" xfId="138" builtinId="9" hidden="1"/>
    <cellStyle name="Followed Hyperlink" xfId="74" builtinId="9" hidden="1"/>
    <cellStyle name="Followed Hyperlink" xfId="36" builtinId="9" hidden="1"/>
    <cellStyle name="Followed Hyperlink" xfId="58" builtinId="9" hidden="1"/>
    <cellStyle name="Followed Hyperlink" xfId="8" builtinId="9" hidden="1"/>
    <cellStyle name="Followed Hyperlink" xfId="20" builtinId="9" hidden="1"/>
    <cellStyle name="Followed Hyperlink" xfId="142" builtinId="9" hidden="1"/>
    <cellStyle name="Followed Hyperlink" xfId="102" builtinId="9" hidden="1"/>
    <cellStyle name="Followed Hyperlink" xfId="78" builtinId="9" hidden="1"/>
    <cellStyle name="Followed Hyperlink" xfId="24" builtinId="9" hidden="1"/>
    <cellStyle name="Followed Hyperlink" xfId="56" builtinId="9" hidden="1"/>
    <cellStyle name="Followed Hyperlink" xfId="62" builtinId="9" hidden="1"/>
    <cellStyle name="Followed Hyperlink" xfId="46" builtinId="9" hidden="1"/>
    <cellStyle name="Followed Hyperlink" xfId="118" builtinId="9" hidden="1"/>
    <cellStyle name="Followed Hyperlink" xfId="28" builtinId="9" hidden="1"/>
    <cellStyle name="Followed Hyperlink" xfId="40" builtinId="9" hidden="1"/>
    <cellStyle name="Followed Hyperlink" xfId="126" builtinId="9" hidden="1"/>
    <cellStyle name="Followed Hyperlink" xfId="22" builtinId="9" hidden="1"/>
    <cellStyle name="Followed Hyperlink" xfId="106" builtinId="9" hidden="1"/>
    <cellStyle name="Followed Hyperlink" xfId="196" builtinId="9" hidden="1"/>
    <cellStyle name="Followed Hyperlink" xfId="88" builtinId="9" hidden="1"/>
    <cellStyle name="Followed Hyperlink" xfId="140" builtinId="9" hidden="1"/>
    <cellStyle name="Followed Hyperlink" xfId="168" builtinId="9" hidden="1"/>
    <cellStyle name="Followed Hyperlink" xfId="148" builtinId="9" hidden="1"/>
    <cellStyle name="Followed Hyperlink" xfId="128" builtinId="9" hidden="1"/>
    <cellStyle name="Followed Hyperlink" xfId="192" builtinId="9" hidden="1"/>
    <cellStyle name="Followed Hyperlink" xfId="68" builtinId="9" hidden="1"/>
    <cellStyle name="Followed Hyperlink" xfId="92" builtinId="9" hidden="1"/>
    <cellStyle name="Followed Hyperlink" xfId="76" builtinId="9" hidden="1"/>
    <cellStyle name="Followed Hyperlink" xfId="96" builtinId="9" hidden="1"/>
    <cellStyle name="Hyperlink" xfId="51" builtinId="8" hidden="1"/>
    <cellStyle name="Hyperlink" xfId="27" builtinId="8" hidden="1"/>
    <cellStyle name="Hyperlink" xfId="5" builtinId="8" hidden="1"/>
    <cellStyle name="Hyperlink" xfId="39" builtinId="8" hidden="1"/>
    <cellStyle name="Hyperlink" xfId="75" builtinId="8" hidden="1"/>
    <cellStyle name="Hyperlink" xfId="87" builtinId="8" hidden="1"/>
    <cellStyle name="Hyperlink" xfId="65" builtinId="8" hidden="1"/>
    <cellStyle name="Hyperlink" xfId="175" builtinId="8" hidden="1"/>
    <cellStyle name="Hyperlink" xfId="201" builtinId="8" hidden="1"/>
    <cellStyle name="Hyperlink" xfId="209" builtinId="8" hidden="1"/>
    <cellStyle name="Hyperlink" xfId="211" builtinId="8" hidden="1"/>
    <cellStyle name="Hyperlink" xfId="187" builtinId="8" hidden="1"/>
    <cellStyle name="Hyperlink" xfId="203" builtinId="8" hidden="1"/>
    <cellStyle name="Hyperlink" xfId="153" builtinId="8" hidden="1"/>
    <cellStyle name="Hyperlink" xfId="125" builtinId="8" hidden="1"/>
    <cellStyle name="Hyperlink" xfId="129" builtinId="8" hidden="1"/>
    <cellStyle name="Hyperlink" xfId="137" builtinId="8" hidden="1"/>
    <cellStyle name="Hyperlink" xfId="143" builtinId="8" hidden="1"/>
    <cellStyle name="Hyperlink" xfId="145" builtinId="8" hidden="1"/>
    <cellStyle name="Hyperlink" xfId="111" builtinId="8" hidden="1"/>
    <cellStyle name="Hyperlink" xfId="113" builtinId="8" hidden="1"/>
    <cellStyle name="Hyperlink" xfId="119" builtinId="8" hidden="1"/>
    <cellStyle name="Hyperlink" xfId="105" builtinId="8" hidden="1"/>
    <cellStyle name="Hyperlink" xfId="97" builtinId="8" hidden="1"/>
    <cellStyle name="Hyperlink" xfId="101" builtinId="8" hidden="1"/>
    <cellStyle name="Hyperlink" xfId="141" builtinId="8" hidden="1"/>
    <cellStyle name="Hyperlink" xfId="117" builtinId="8" hidden="1"/>
    <cellStyle name="Hyperlink" xfId="109" builtinId="8" hidden="1"/>
    <cellStyle name="Hyperlink" xfId="205" builtinId="8" hidden="1"/>
    <cellStyle name="Hyperlink" xfId="157" builtinId="8" hidden="1"/>
    <cellStyle name="Hyperlink" xfId="161" builtinId="8" hidden="1"/>
    <cellStyle name="Hyperlink" xfId="167" builtinId="8" hidden="1"/>
    <cellStyle name="Hyperlink" xfId="177" builtinId="8" hidden="1"/>
    <cellStyle name="Hyperlink" xfId="181" builtinId="8" hidden="1"/>
    <cellStyle name="Hyperlink" xfId="189" builtinId="8" hidden="1"/>
    <cellStyle name="Hyperlink" xfId="191" builtinId="8" hidden="1"/>
    <cellStyle name="Hyperlink" xfId="199" builtinId="8" hidden="1"/>
    <cellStyle name="Hyperlink" xfId="55" builtinId="8" hidden="1"/>
    <cellStyle name="Hyperlink" xfId="47" builtinId="8" hidden="1"/>
    <cellStyle name="Hyperlink" xfId="107" builtinId="8" hidden="1"/>
    <cellStyle name="Hyperlink" xfId="151" builtinId="8" hidden="1"/>
    <cellStyle name="Hyperlink" xfId="83" builtinId="8" hidden="1"/>
    <cellStyle name="Hyperlink" xfId="73" builtinId="8" hidden="1"/>
    <cellStyle name="Hyperlink" xfId="23" builtinId="8" hidden="1"/>
    <cellStyle name="Hyperlink" xfId="93" builtinId="8" hidden="1"/>
    <cellStyle name="Hyperlink" xfId="171" builtinId="8" hidden="1"/>
    <cellStyle name="Hyperlink" xfId="173" builtinId="8" hidden="1"/>
    <cellStyle name="Hyperlink" xfId="185" builtinId="8" hidden="1"/>
    <cellStyle name="Hyperlink" xfId="165" builtinId="8" hidden="1"/>
    <cellStyle name="Hyperlink" xfId="121" builtinId="8" hidden="1"/>
    <cellStyle name="Hyperlink" xfId="133" builtinId="8" hidden="1"/>
    <cellStyle name="Hyperlink" xfId="103" builtinId="8" hidden="1"/>
    <cellStyle name="Hyperlink" xfId="149" builtinId="8" hidden="1"/>
    <cellStyle name="Hyperlink" xfId="135" builtinId="8" hidden="1"/>
    <cellStyle name="Hyperlink" xfId="197" builtinId="8" hidden="1"/>
    <cellStyle name="Hyperlink" xfId="213" builtinId="8" hidden="1"/>
    <cellStyle name="Hyperlink" xfId="183" builtinId="8" hidden="1"/>
    <cellStyle name="Hyperlink" xfId="29" builtinId="8" hidden="1"/>
    <cellStyle name="Hyperlink" xfId="19" builtinId="8" hidden="1"/>
    <cellStyle name="Hyperlink" xfId="13" builtinId="8" hidden="1"/>
    <cellStyle name="Hyperlink" xfId="7" builtinId="8" hidden="1"/>
    <cellStyle name="Hyperlink" xfId="1" builtinId="8" hidden="1"/>
    <cellStyle name="Hyperlink" xfId="3" builtinId="8" hidden="1"/>
    <cellStyle name="Hyperlink" xfId="33" builtinId="8" hidden="1"/>
    <cellStyle name="Hyperlink" xfId="15" builtinId="8" hidden="1"/>
    <cellStyle name="Hyperlink" xfId="9" builtinId="8" hidden="1"/>
    <cellStyle name="Hyperlink" xfId="81" builtinId="8" hidden="1"/>
    <cellStyle name="Hyperlink" xfId="49" builtinId="8" hidden="1"/>
    <cellStyle name="Hyperlink" xfId="53" builtinId="8" hidden="1"/>
    <cellStyle name="Hyperlink" xfId="61" builtinId="8" hidden="1"/>
    <cellStyle name="Hyperlink" xfId="63" builtinId="8" hidden="1"/>
    <cellStyle name="Hyperlink" xfId="69" builtinId="8" hidden="1"/>
    <cellStyle name="Hyperlink" xfId="71" builtinId="8" hidden="1"/>
    <cellStyle name="Hyperlink" xfId="77" builtinId="8" hidden="1"/>
    <cellStyle name="Hyperlink" xfId="123" builtinId="8" hidden="1"/>
    <cellStyle name="Hyperlink" xfId="115" builtinId="8" hidden="1"/>
    <cellStyle name="Hyperlink" xfId="41" builtinId="8" hidden="1"/>
    <cellStyle name="Hyperlink" xfId="155" builtinId="8" hidden="1"/>
    <cellStyle name="Hyperlink" xfId="147" builtinId="8" hidden="1"/>
    <cellStyle name="Hyperlink" xfId="179" builtinId="8" hidden="1"/>
    <cellStyle name="Hyperlink" xfId="163" builtinId="8" hidden="1"/>
    <cellStyle name="Hyperlink" xfId="57" builtinId="8" hidden="1"/>
    <cellStyle name="Hyperlink" xfId="67" builtinId="8" hidden="1"/>
    <cellStyle name="Hyperlink" xfId="99" builtinId="8" hidden="1"/>
    <cellStyle name="Hyperlink" xfId="131" builtinId="8" hidden="1"/>
    <cellStyle name="Hyperlink" xfId="45" builtinId="8" hidden="1"/>
    <cellStyle name="Hyperlink" xfId="17" builtinId="8" hidden="1"/>
    <cellStyle name="Hyperlink" xfId="85" builtinId="8" hidden="1"/>
    <cellStyle name="Hyperlink" xfId="89" builtinId="8" hidden="1"/>
    <cellStyle name="Hyperlink" xfId="95" builtinId="8" hidden="1"/>
    <cellStyle name="Hyperlink" xfId="91" builtinId="8" hidden="1"/>
    <cellStyle name="Hyperlink" xfId="21" builtinId="8" hidden="1"/>
    <cellStyle name="Hyperlink" xfId="25" builtinId="8" hidden="1"/>
    <cellStyle name="Hyperlink" xfId="31" builtinId="8" hidden="1"/>
    <cellStyle name="Hyperlink" xfId="35" builtinId="8" hidden="1"/>
    <cellStyle name="Hyperlink" xfId="37" builtinId="8" hidden="1"/>
    <cellStyle name="Hyperlink" xfId="11" builtinId="8" hidden="1"/>
    <cellStyle name="Hyperlink" xfId="43" builtinId="8" hidden="1"/>
    <cellStyle name="Hyperlink" xfId="169" builtinId="8" hidden="1"/>
    <cellStyle name="Hyperlink" xfId="159" builtinId="8" hidden="1"/>
    <cellStyle name="Hyperlink" xfId="139" builtinId="8" hidden="1"/>
    <cellStyle name="Hyperlink" xfId="59" builtinId="8" hidden="1"/>
    <cellStyle name="Hyperlink" xfId="79" builtinId="8" hidden="1"/>
    <cellStyle name="Hyperlink" xfId="207" builtinId="8" hidden="1"/>
    <cellStyle name="Hyperlink" xfId="193" builtinId="8" hidden="1"/>
    <cellStyle name="Hyperlink" xfId="195" builtinId="8" hidden="1"/>
    <cellStyle name="Hyperlink" xfId="127" builtinId="8" hidden="1"/>
    <cellStyle name="Normal" xfId="0" builtinId="0"/>
    <cellStyle name="Normal 2" xfId="215" xr:uid="{E3F00F2F-F1C0-45DF-B7A0-37132AACA277}"/>
    <cellStyle name="Normal 3" xfId="216" xr:uid="{7D4CA111-B8EC-4DAC-B578-1B148D33523B}"/>
    <cellStyle name="Normal 4" xfId="217" xr:uid="{79F4D9B2-7E50-4019-8EED-DF4EAD1CB369}"/>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FFFFFF"/>
      <rgbColor rgb="FFAAAAAA"/>
      <rgbColor rgb="FF000090"/>
      <rgbColor rgb="FF000080"/>
      <rgbColor rgb="FFFF0000"/>
      <rgbColor rgb="FF800000"/>
      <rgbColor rgb="FF99CCFF"/>
      <rgbColor rgb="FF6711FF"/>
      <rgbColor rgb="FF8064A2"/>
      <rgbColor rgb="FF003300"/>
      <rgbColor rgb="FFCCFFFF"/>
      <rgbColor rgb="FFC0C0C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9"/>
  <sheetViews>
    <sheetView workbookViewId="0"/>
  </sheetViews>
  <sheetFormatPr defaultColWidth="8.85546875" defaultRowHeight="14.1" customHeight="1" x14ac:dyDescent="0.2"/>
  <cols>
    <col min="1" max="1" width="8.85546875" style="35" customWidth="1"/>
    <col min="2" max="2" width="31.42578125" style="35" customWidth="1"/>
    <col min="3" max="3" width="10.28515625" style="57" bestFit="1" customWidth="1"/>
    <col min="4" max="4" width="10.28515625" style="35" bestFit="1" customWidth="1"/>
    <col min="5" max="5" width="9" style="35" customWidth="1"/>
    <col min="6" max="6" width="9.7109375" style="35" customWidth="1"/>
    <col min="7" max="7" width="9.42578125" style="35" customWidth="1"/>
    <col min="8" max="9" width="9.7109375" style="35" customWidth="1"/>
    <col min="10" max="256" width="8.85546875" style="35" customWidth="1"/>
  </cols>
  <sheetData>
    <row r="1" spans="1:9" ht="15.75" customHeight="1" x14ac:dyDescent="0.25">
      <c r="A1" s="1" t="s">
        <v>0</v>
      </c>
      <c r="B1" s="2"/>
      <c r="C1" s="2"/>
      <c r="D1" s="2"/>
      <c r="E1" s="2"/>
      <c r="F1" s="2"/>
      <c r="G1" s="2"/>
      <c r="H1" s="2"/>
      <c r="I1" s="2"/>
    </row>
    <row r="2" spans="1:9" ht="15" customHeight="1" x14ac:dyDescent="0.25">
      <c r="A2" s="3" t="s">
        <v>11</v>
      </c>
      <c r="B2" s="2"/>
      <c r="C2" s="2"/>
      <c r="D2" s="2"/>
      <c r="E2" s="2"/>
      <c r="F2" s="2"/>
      <c r="G2" s="2"/>
      <c r="H2" s="2"/>
      <c r="I2" s="2"/>
    </row>
    <row r="3" spans="1:9" ht="13.7" customHeight="1" x14ac:dyDescent="0.2">
      <c r="A3" s="28"/>
      <c r="B3" s="2"/>
      <c r="C3" s="2"/>
      <c r="D3" s="2"/>
      <c r="E3" s="2"/>
      <c r="F3" s="2"/>
      <c r="G3" s="2"/>
      <c r="H3" s="2"/>
      <c r="I3" s="2"/>
    </row>
    <row r="4" spans="1:9" ht="13.7" customHeight="1" x14ac:dyDescent="0.2">
      <c r="A4" s="28"/>
      <c r="B4" s="2"/>
      <c r="C4" s="2"/>
      <c r="D4" s="2"/>
      <c r="E4" s="2"/>
      <c r="F4" s="2"/>
      <c r="G4" s="2"/>
      <c r="H4" s="2"/>
      <c r="I4" s="2"/>
    </row>
    <row r="5" spans="1:9" ht="15.75" customHeight="1" x14ac:dyDescent="0.2">
      <c r="A5" s="4"/>
      <c r="B5" s="5"/>
      <c r="C5" s="5"/>
      <c r="D5" s="5"/>
      <c r="E5" s="5"/>
      <c r="F5" s="6"/>
      <c r="G5" s="5"/>
      <c r="H5" s="5"/>
      <c r="I5" s="5"/>
    </row>
    <row r="6" spans="1:9" ht="27" customHeight="1" x14ac:dyDescent="0.2">
      <c r="A6" s="7"/>
      <c r="B6" s="8" t="s">
        <v>1</v>
      </c>
      <c r="C6" s="9" t="s">
        <v>12</v>
      </c>
      <c r="D6" s="9" t="s">
        <v>13</v>
      </c>
      <c r="E6" s="9" t="s">
        <v>14</v>
      </c>
      <c r="F6" s="10" t="s">
        <v>15</v>
      </c>
      <c r="G6" s="9" t="s">
        <v>16</v>
      </c>
      <c r="H6" s="9" t="s">
        <v>17</v>
      </c>
      <c r="I6" s="9" t="s">
        <v>18</v>
      </c>
    </row>
    <row r="7" spans="1:9" ht="12.75" customHeight="1" x14ac:dyDescent="0.2">
      <c r="A7" s="36"/>
      <c r="B7" s="36"/>
      <c r="C7" s="37"/>
      <c r="D7" s="37"/>
      <c r="E7" s="37"/>
      <c r="F7" s="38"/>
      <c r="G7" s="37"/>
      <c r="H7" s="37"/>
      <c r="I7" s="37"/>
    </row>
    <row r="8" spans="1:9" ht="15" customHeight="1" x14ac:dyDescent="0.25">
      <c r="A8" s="14" t="s">
        <v>19</v>
      </c>
      <c r="B8" s="2"/>
      <c r="C8" s="2"/>
      <c r="D8" s="2"/>
      <c r="E8" s="2"/>
      <c r="F8" s="2"/>
      <c r="G8" s="2"/>
      <c r="H8" s="11"/>
      <c r="I8" s="11"/>
    </row>
    <row r="9" spans="1:9" ht="15" customHeight="1" x14ac:dyDescent="0.25">
      <c r="A9" s="24"/>
      <c r="B9" s="2"/>
      <c r="C9" s="12"/>
      <c r="D9" s="12"/>
      <c r="E9" s="12"/>
      <c r="F9" s="12"/>
      <c r="G9" s="12"/>
      <c r="H9" s="13"/>
      <c r="I9" s="13"/>
    </row>
    <row r="10" spans="1:9" ht="13.7" customHeight="1" x14ac:dyDescent="0.2">
      <c r="A10" s="14" t="s">
        <v>4</v>
      </c>
      <c r="B10" s="2"/>
      <c r="C10" s="39">
        <v>0</v>
      </c>
      <c r="D10" s="39">
        <v>0</v>
      </c>
      <c r="E10" s="39">
        <v>0</v>
      </c>
      <c r="F10" s="39">
        <v>0</v>
      </c>
      <c r="G10" s="39">
        <v>0</v>
      </c>
      <c r="H10" s="39">
        <v>0</v>
      </c>
      <c r="I10" s="39">
        <v>0</v>
      </c>
    </row>
    <row r="11" spans="1:9" ht="15" customHeight="1" x14ac:dyDescent="0.25">
      <c r="A11" s="2"/>
      <c r="B11" s="2"/>
      <c r="C11" s="31"/>
      <c r="D11" s="31"/>
      <c r="E11" s="31"/>
      <c r="F11" s="31"/>
      <c r="G11" s="31"/>
      <c r="H11" s="31"/>
      <c r="I11" s="31"/>
    </row>
    <row r="12" spans="1:9" ht="15" customHeight="1" x14ac:dyDescent="0.25">
      <c r="A12" s="14" t="s">
        <v>5</v>
      </c>
      <c r="B12" s="2"/>
      <c r="C12" s="32"/>
      <c r="D12" s="32"/>
      <c r="E12" s="32"/>
      <c r="F12" s="32"/>
      <c r="G12" s="32"/>
      <c r="H12" s="32"/>
      <c r="I12" s="32"/>
    </row>
    <row r="13" spans="1:9" ht="15" customHeight="1" x14ac:dyDescent="0.25">
      <c r="A13" s="2"/>
      <c r="B13" s="3" t="s">
        <v>20</v>
      </c>
      <c r="C13" s="16">
        <v>0</v>
      </c>
      <c r="D13" s="16">
        <v>0</v>
      </c>
      <c r="E13" s="16">
        <v>0</v>
      </c>
      <c r="F13" s="16">
        <v>0</v>
      </c>
      <c r="G13" s="16">
        <v>0</v>
      </c>
      <c r="H13" s="16">
        <v>0</v>
      </c>
      <c r="I13" s="16">
        <v>0</v>
      </c>
    </row>
    <row r="14" spans="1:9" ht="15" customHeight="1" x14ac:dyDescent="0.25">
      <c r="A14" s="2"/>
      <c r="B14" s="3" t="s">
        <v>21</v>
      </c>
      <c r="C14" s="16">
        <v>0</v>
      </c>
      <c r="D14" s="16">
        <v>0</v>
      </c>
      <c r="E14" s="16">
        <v>0</v>
      </c>
      <c r="F14" s="16">
        <v>0</v>
      </c>
      <c r="G14" s="16">
        <v>0</v>
      </c>
      <c r="H14" s="16">
        <v>0</v>
      </c>
      <c r="I14" s="16">
        <v>0</v>
      </c>
    </row>
    <row r="15" spans="1:9" ht="15" customHeight="1" x14ac:dyDescent="0.25">
      <c r="A15" s="2"/>
      <c r="B15" s="3" t="s">
        <v>6</v>
      </c>
      <c r="C15" s="16">
        <v>0</v>
      </c>
      <c r="D15" s="16">
        <v>0</v>
      </c>
      <c r="E15" s="16">
        <v>0</v>
      </c>
      <c r="F15" s="16">
        <v>0</v>
      </c>
      <c r="G15" s="16">
        <v>0</v>
      </c>
      <c r="H15" s="16">
        <v>0</v>
      </c>
      <c r="I15" s="16">
        <v>0</v>
      </c>
    </row>
    <row r="16" spans="1:9" ht="15" customHeight="1" x14ac:dyDescent="0.25">
      <c r="A16" s="17"/>
      <c r="B16" s="18" t="s">
        <v>22</v>
      </c>
      <c r="C16" s="16">
        <v>0</v>
      </c>
      <c r="D16" s="19">
        <v>0</v>
      </c>
      <c r="E16" s="19">
        <v>0</v>
      </c>
      <c r="F16" s="19">
        <v>0</v>
      </c>
      <c r="G16" s="19">
        <v>0</v>
      </c>
      <c r="H16" s="19">
        <v>0</v>
      </c>
      <c r="I16" s="19">
        <v>0</v>
      </c>
    </row>
    <row r="17" spans="1:256" ht="15" customHeight="1" x14ac:dyDescent="0.25">
      <c r="A17" s="20"/>
      <c r="B17" s="21" t="s">
        <v>23</v>
      </c>
      <c r="C17" s="22">
        <f>SUM(C13:C16)+C10</f>
        <v>0</v>
      </c>
      <c r="D17" s="22">
        <f t="shared" ref="D17:I17" si="0">SUM(D13:D16)+D10</f>
        <v>0</v>
      </c>
      <c r="E17" s="22">
        <f t="shared" si="0"/>
        <v>0</v>
      </c>
      <c r="F17" s="22">
        <f t="shared" si="0"/>
        <v>0</v>
      </c>
      <c r="G17" s="22">
        <f t="shared" si="0"/>
        <v>0</v>
      </c>
      <c r="H17" s="22">
        <f t="shared" si="0"/>
        <v>0</v>
      </c>
      <c r="I17" s="22">
        <f t="shared" si="0"/>
        <v>0</v>
      </c>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c r="IU17" s="57"/>
      <c r="IV17" s="57"/>
    </row>
    <row r="18" spans="1:256" ht="15" customHeight="1" x14ac:dyDescent="0.25">
      <c r="A18" s="23"/>
      <c r="B18" s="23"/>
      <c r="C18" s="31"/>
      <c r="D18" s="31"/>
      <c r="E18" s="31"/>
      <c r="F18" s="31"/>
      <c r="G18" s="31"/>
      <c r="H18" s="31"/>
      <c r="I18" s="31"/>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c r="IR18" s="57"/>
      <c r="IS18" s="57"/>
      <c r="IT18" s="57"/>
      <c r="IU18" s="57"/>
      <c r="IV18" s="57"/>
    </row>
    <row r="19" spans="1:256" ht="15" customHeight="1" x14ac:dyDescent="0.25">
      <c r="A19" s="14" t="s">
        <v>24</v>
      </c>
      <c r="B19" s="2"/>
      <c r="C19" s="40"/>
      <c r="D19" s="40"/>
      <c r="E19" s="32"/>
      <c r="F19" s="32"/>
      <c r="G19" s="32"/>
      <c r="H19" s="32"/>
      <c r="I19" s="32"/>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c r="IR19" s="57"/>
      <c r="IS19" s="57"/>
      <c r="IT19" s="57"/>
      <c r="IU19" s="57"/>
      <c r="IV19" s="57"/>
    </row>
    <row r="20" spans="1:256" ht="15" customHeight="1" x14ac:dyDescent="0.25">
      <c r="A20" s="2"/>
      <c r="B20" s="3" t="s">
        <v>25</v>
      </c>
      <c r="C20" s="64">
        <v>0</v>
      </c>
      <c r="D20" s="64">
        <v>0</v>
      </c>
      <c r="E20" s="64">
        <v>0</v>
      </c>
      <c r="F20" s="64">
        <v>0</v>
      </c>
      <c r="G20" s="64">
        <v>0</v>
      </c>
      <c r="H20" s="64">
        <v>0</v>
      </c>
      <c r="I20" s="65">
        <v>0</v>
      </c>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c r="IR20" s="57"/>
      <c r="IS20" s="57"/>
      <c r="IT20" s="57"/>
      <c r="IU20" s="57"/>
      <c r="IV20" s="57"/>
    </row>
    <row r="21" spans="1:256" ht="15" customHeight="1" x14ac:dyDescent="0.25">
      <c r="A21" s="17"/>
      <c r="B21" s="18" t="s">
        <v>26</v>
      </c>
      <c r="C21" s="63">
        <v>0</v>
      </c>
      <c r="D21" s="63">
        <v>0</v>
      </c>
      <c r="E21" s="63">
        <v>0</v>
      </c>
      <c r="F21" s="63">
        <v>0</v>
      </c>
      <c r="G21" s="63">
        <v>0</v>
      </c>
      <c r="H21" s="63">
        <v>0</v>
      </c>
      <c r="I21" s="66">
        <v>0</v>
      </c>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c r="IR21" s="57"/>
      <c r="IS21" s="57"/>
      <c r="IT21" s="57"/>
      <c r="IU21" s="57"/>
      <c r="IV21" s="57"/>
    </row>
    <row r="22" spans="1:256" ht="15" customHeight="1" x14ac:dyDescent="0.25">
      <c r="A22" s="17"/>
      <c r="B22" s="18" t="s">
        <v>27</v>
      </c>
      <c r="C22" s="67">
        <v>0</v>
      </c>
      <c r="D22" s="67">
        <v>0</v>
      </c>
      <c r="E22" s="67">
        <v>0</v>
      </c>
      <c r="F22" s="67">
        <v>0</v>
      </c>
      <c r="G22" s="67">
        <v>0</v>
      </c>
      <c r="H22" s="67">
        <v>0</v>
      </c>
      <c r="I22" s="68">
        <v>0</v>
      </c>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c r="IU22" s="57"/>
      <c r="IV22" s="57"/>
    </row>
    <row r="23" spans="1:256" ht="15" customHeight="1" x14ac:dyDescent="0.25">
      <c r="A23" s="20"/>
      <c r="B23" s="21" t="s">
        <v>28</v>
      </c>
      <c r="C23" s="22">
        <f>SUM(C20:C22)</f>
        <v>0</v>
      </c>
      <c r="D23" s="22">
        <f t="shared" ref="D23:I23" si="1">SUM(D20:D22)</f>
        <v>0</v>
      </c>
      <c r="E23" s="22">
        <f t="shared" si="1"/>
        <v>0</v>
      </c>
      <c r="F23" s="22">
        <f t="shared" si="1"/>
        <v>0</v>
      </c>
      <c r="G23" s="22">
        <f t="shared" si="1"/>
        <v>0</v>
      </c>
      <c r="H23" s="22">
        <f t="shared" si="1"/>
        <v>0</v>
      </c>
      <c r="I23" s="22">
        <f t="shared" si="1"/>
        <v>0</v>
      </c>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c r="IU23" s="57"/>
      <c r="IV23" s="57"/>
    </row>
    <row r="24" spans="1:256" ht="15" customHeight="1" x14ac:dyDescent="0.25">
      <c r="A24" s="23"/>
      <c r="B24" s="23"/>
      <c r="C24" s="25"/>
      <c r="D24" s="25"/>
      <c r="E24" s="25"/>
      <c r="F24" s="25"/>
      <c r="G24" s="25"/>
      <c r="H24" s="26"/>
      <c r="I24" s="25"/>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c r="IU24" s="57"/>
      <c r="IV24" s="57"/>
    </row>
    <row r="25" spans="1:256" ht="15" customHeight="1" x14ac:dyDescent="0.25">
      <c r="A25" s="14" t="s">
        <v>29</v>
      </c>
      <c r="B25" s="41"/>
      <c r="C25" s="42">
        <f>C17-C23</f>
        <v>0</v>
      </c>
      <c r="D25" s="42">
        <f t="shared" ref="D25:I25" si="2">D17-D23</f>
        <v>0</v>
      </c>
      <c r="E25" s="42">
        <f t="shared" si="2"/>
        <v>0</v>
      </c>
      <c r="F25" s="42">
        <f t="shared" si="2"/>
        <v>0</v>
      </c>
      <c r="G25" s="42">
        <f t="shared" si="2"/>
        <v>0</v>
      </c>
      <c r="H25" s="42">
        <f t="shared" si="2"/>
        <v>0</v>
      </c>
      <c r="I25" s="42">
        <f t="shared" si="2"/>
        <v>0</v>
      </c>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c r="IS25" s="57"/>
      <c r="IT25" s="57"/>
      <c r="IU25" s="57"/>
      <c r="IV25" s="57"/>
    </row>
    <row r="26" spans="1:256" ht="15" customHeight="1" x14ac:dyDescent="0.25">
      <c r="A26" s="17"/>
      <c r="B26" s="17"/>
      <c r="C26" s="43"/>
      <c r="D26" s="43"/>
      <c r="E26" s="43"/>
      <c r="F26" s="43"/>
      <c r="G26" s="43"/>
      <c r="H26" s="43"/>
      <c r="I26" s="43"/>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c r="IR26" s="57"/>
      <c r="IS26" s="57"/>
      <c r="IT26" s="57"/>
      <c r="IU26" s="57"/>
      <c r="IV26" s="57"/>
    </row>
    <row r="27" spans="1:256" ht="15" customHeight="1" x14ac:dyDescent="0.25">
      <c r="A27" s="20"/>
      <c r="B27" s="29" t="s">
        <v>7</v>
      </c>
      <c r="C27" s="30">
        <f>C23+C25</f>
        <v>0</v>
      </c>
      <c r="D27" s="30">
        <f t="shared" ref="D27:I27" si="3">D23+D25</f>
        <v>0</v>
      </c>
      <c r="E27" s="30">
        <f t="shared" si="3"/>
        <v>0</v>
      </c>
      <c r="F27" s="30">
        <f t="shared" si="3"/>
        <v>0</v>
      </c>
      <c r="G27" s="30">
        <f t="shared" si="3"/>
        <v>0</v>
      </c>
      <c r="H27" s="30">
        <f t="shared" si="3"/>
        <v>0</v>
      </c>
      <c r="I27" s="30">
        <f t="shared" si="3"/>
        <v>0</v>
      </c>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c r="IS27" s="57"/>
      <c r="IT27" s="57"/>
      <c r="IU27" s="57"/>
      <c r="IV27" s="57"/>
    </row>
    <row r="28" spans="1:256" ht="13.7" customHeight="1" x14ac:dyDescent="0.2">
      <c r="A28" s="23"/>
      <c r="B28" s="23"/>
      <c r="C28" s="15"/>
      <c r="D28" s="15"/>
      <c r="E28" s="15"/>
      <c r="F28" s="15"/>
      <c r="G28" s="15"/>
      <c r="H28" s="15"/>
      <c r="I28" s="15"/>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c r="IT28" s="57"/>
      <c r="IU28" s="57"/>
      <c r="IV28" s="57"/>
    </row>
    <row r="29" spans="1:256" ht="15" customHeight="1" x14ac:dyDescent="0.25">
      <c r="A29" s="33" t="s">
        <v>8</v>
      </c>
      <c r="B29" s="34"/>
      <c r="C29" s="27">
        <f>C17-C27</f>
        <v>0</v>
      </c>
      <c r="D29" s="27">
        <f t="shared" ref="D29:I29" si="4">D17-D27</f>
        <v>0</v>
      </c>
      <c r="E29" s="27">
        <f t="shared" si="4"/>
        <v>0</v>
      </c>
      <c r="F29" s="27">
        <f t="shared" si="4"/>
        <v>0</v>
      </c>
      <c r="G29" s="27">
        <f t="shared" si="4"/>
        <v>0</v>
      </c>
      <c r="H29" s="27">
        <f t="shared" si="4"/>
        <v>0</v>
      </c>
      <c r="I29" s="27">
        <f t="shared" si="4"/>
        <v>0</v>
      </c>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c r="IU29" s="57"/>
      <c r="IV29" s="57"/>
    </row>
  </sheetData>
  <phoneticPr fontId="18" type="noConversion"/>
  <pageMargins left="0.7" right="0.7" top="0.75" bottom="0.75" header="0.3" footer="0.3"/>
  <pageSetup firstPageNumber="10" orientation="portrait" useFirstPageNumber="1" r:id="rId1"/>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87F0D-DD13-4A87-B1EE-C74EE6F79A1A}">
  <sheetPr>
    <pageSetUpPr fitToPage="1"/>
  </sheetPr>
  <dimension ref="A1:K219"/>
  <sheetViews>
    <sheetView workbookViewId="0">
      <pane ySplit="1" topLeftCell="A186" activePane="bottomLeft" state="frozen"/>
      <selection pane="bottomLeft" activeCell="L15" sqref="L15"/>
    </sheetView>
  </sheetViews>
  <sheetFormatPr defaultColWidth="17.85546875" defaultRowHeight="12.75" x14ac:dyDescent="0.2"/>
  <cols>
    <col min="1" max="1" width="16.28515625" style="144" customWidth="1"/>
    <col min="2" max="2" width="31.7109375" style="145" customWidth="1"/>
  </cols>
  <sheetData>
    <row r="1" spans="1:10" ht="15" x14ac:dyDescent="0.2">
      <c r="A1" s="193" t="s">
        <v>33</v>
      </c>
      <c r="B1" s="184" t="s">
        <v>548</v>
      </c>
      <c r="C1" s="284" t="s">
        <v>522</v>
      </c>
      <c r="D1" s="284" t="s">
        <v>543</v>
      </c>
      <c r="E1" s="284">
        <v>2023</v>
      </c>
      <c r="F1" s="284">
        <v>2024</v>
      </c>
      <c r="G1" s="284">
        <v>2025</v>
      </c>
      <c r="H1" s="284">
        <v>2026</v>
      </c>
      <c r="I1" s="284">
        <v>2027</v>
      </c>
      <c r="J1" s="284">
        <v>2027</v>
      </c>
    </row>
    <row r="2" spans="1:10" ht="15" x14ac:dyDescent="0.2">
      <c r="A2" s="291" t="s">
        <v>557</v>
      </c>
      <c r="B2" s="136"/>
      <c r="C2" s="86"/>
      <c r="D2" s="86"/>
      <c r="E2" s="86"/>
      <c r="F2" s="86"/>
      <c r="G2" s="86"/>
      <c r="H2" s="86"/>
      <c r="I2" s="86"/>
      <c r="J2" s="86"/>
    </row>
    <row r="3" spans="1:10" ht="15.75" x14ac:dyDescent="0.2">
      <c r="A3" s="137" t="s">
        <v>484</v>
      </c>
      <c r="B3" s="138"/>
      <c r="C3" s="86"/>
      <c r="D3" s="86"/>
      <c r="E3" s="86"/>
      <c r="F3" s="86"/>
      <c r="G3" s="86"/>
      <c r="H3" s="86"/>
      <c r="I3" s="86"/>
      <c r="J3" s="86"/>
    </row>
    <row r="4" spans="1:10" ht="15" x14ac:dyDescent="0.2">
      <c r="A4" s="140" t="s">
        <v>470</v>
      </c>
      <c r="B4" s="138"/>
      <c r="C4" s="86"/>
      <c r="D4" s="86"/>
      <c r="E4" s="86"/>
      <c r="F4" s="86"/>
      <c r="G4" s="86"/>
      <c r="H4" s="86"/>
      <c r="I4" s="86"/>
      <c r="J4" s="86"/>
    </row>
    <row r="5" spans="1:10" ht="15" x14ac:dyDescent="0.2">
      <c r="A5" s="141" t="s">
        <v>266</v>
      </c>
      <c r="B5" s="129" t="s">
        <v>477</v>
      </c>
      <c r="C5" s="167">
        <f>SUM('6511 Expenditures'!E11)</f>
        <v>105000</v>
      </c>
      <c r="D5" s="167">
        <f>'6511 Expenditures'!F11</f>
        <v>120000</v>
      </c>
      <c r="E5" s="167">
        <f>'6511 Expenditures'!G11</f>
        <v>122400</v>
      </c>
      <c r="F5" s="167">
        <f>'6511 Expenditures'!H11</f>
        <v>124848</v>
      </c>
      <c r="G5" s="167">
        <f>'6511 Expenditures'!I11</f>
        <v>127344.96000000001</v>
      </c>
      <c r="H5" s="167">
        <f>'6511 Expenditures'!J11</f>
        <v>129891.85920000001</v>
      </c>
      <c r="I5" s="167">
        <f>'6511 Expenditures'!K11</f>
        <v>132489.69638400001</v>
      </c>
      <c r="J5" s="167">
        <f>'6511 Expenditures'!L11</f>
        <v>135139.49031168001</v>
      </c>
    </row>
    <row r="6" spans="1:10" ht="15" x14ac:dyDescent="0.2">
      <c r="A6" s="141" t="s">
        <v>267</v>
      </c>
      <c r="B6" s="129" t="s">
        <v>478</v>
      </c>
      <c r="C6" s="162">
        <f>SUM('6511 Expenditures'!E12)</f>
        <v>53000</v>
      </c>
      <c r="D6" s="162">
        <f>SUM('6511 Expenditures'!F12)</f>
        <v>55000</v>
      </c>
      <c r="E6" s="162">
        <f>SUM('6511 Expenditures'!G12)</f>
        <v>59400.000000000007</v>
      </c>
      <c r="F6" s="162">
        <f>SUM('6511 Expenditures'!H12)</f>
        <v>64152.000000000015</v>
      </c>
      <c r="G6" s="162">
        <f>SUM('6511 Expenditures'!I12)</f>
        <v>67359.60000000002</v>
      </c>
      <c r="H6" s="162">
        <f>SUM('6511 Expenditures'!J12)</f>
        <v>70727.580000000031</v>
      </c>
      <c r="I6" s="162">
        <f>SUM('6511 Expenditures'!K12)</f>
        <v>74263.959000000032</v>
      </c>
      <c r="J6" s="162">
        <f>SUM('6511 Expenditures'!L12)</f>
        <v>77977.156950000033</v>
      </c>
    </row>
    <row r="7" spans="1:10" ht="15" x14ac:dyDescent="0.2">
      <c r="A7" s="141" t="s">
        <v>268</v>
      </c>
      <c r="B7" s="129" t="s">
        <v>479</v>
      </c>
      <c r="C7" s="162">
        <f>SUM('6511 Expenditures'!E13)</f>
        <v>7000</v>
      </c>
      <c r="D7" s="162">
        <f>SUM('6511 Expenditures'!F13)</f>
        <v>20000</v>
      </c>
      <c r="E7" s="162">
        <f>SUM('6511 Expenditures'!G13)</f>
        <v>21000</v>
      </c>
      <c r="F7" s="162">
        <f>SUM('6511 Expenditures'!H13)</f>
        <v>22050</v>
      </c>
      <c r="G7" s="162">
        <f>SUM('6511 Expenditures'!I13)</f>
        <v>23152.5</v>
      </c>
      <c r="H7" s="162">
        <f>SUM('6511 Expenditures'!J13)</f>
        <v>24310.125</v>
      </c>
      <c r="I7" s="162">
        <f>SUM('6511 Expenditures'!K13)</f>
        <v>25525.631250000002</v>
      </c>
      <c r="J7" s="162">
        <f>SUM('6511 Expenditures'!L13)</f>
        <v>26801.912812500002</v>
      </c>
    </row>
    <row r="8" spans="1:10" ht="30" x14ac:dyDescent="0.2">
      <c r="A8" s="141" t="s">
        <v>269</v>
      </c>
      <c r="B8" s="129" t="s">
        <v>130</v>
      </c>
      <c r="C8" s="162">
        <f>SUM('6511 Expenditures'!E14)</f>
        <v>23750</v>
      </c>
      <c r="D8" s="162">
        <f>'6511 Expenditures'!F14</f>
        <v>0</v>
      </c>
      <c r="E8" s="162">
        <f>'6511 Expenditures'!G14</f>
        <v>0</v>
      </c>
      <c r="F8" s="162">
        <f>'6511 Expenditures'!H14</f>
        <v>0</v>
      </c>
      <c r="G8" s="162">
        <f>'6511 Expenditures'!I14</f>
        <v>0</v>
      </c>
      <c r="H8" s="162">
        <f>'6511 Expenditures'!J14</f>
        <v>0</v>
      </c>
      <c r="I8" s="162">
        <f>'6511 Expenditures'!K14</f>
        <v>0</v>
      </c>
      <c r="J8" s="162">
        <f>'6511 Expenditures'!L14</f>
        <v>0</v>
      </c>
    </row>
    <row r="9" spans="1:10" ht="15" x14ac:dyDescent="0.2">
      <c r="A9" s="141" t="s">
        <v>270</v>
      </c>
      <c r="B9" s="129" t="s">
        <v>131</v>
      </c>
      <c r="C9" s="162">
        <f>SUM('6511 Expenditures'!E15)</f>
        <v>51000</v>
      </c>
      <c r="D9" s="162">
        <f>SUM('6511 Expenditures'!F15)</f>
        <v>54000</v>
      </c>
      <c r="E9" s="162">
        <f>SUM('6511 Expenditures'!G15)</f>
        <v>58320.000000000007</v>
      </c>
      <c r="F9" s="162">
        <f>SUM('6511 Expenditures'!H15)</f>
        <v>62985.600000000013</v>
      </c>
      <c r="G9" s="162">
        <f>SUM('6511 Expenditures'!I15)</f>
        <v>66134.880000000019</v>
      </c>
      <c r="H9" s="162">
        <f>SUM('6511 Expenditures'!J15)</f>
        <v>69441.624000000025</v>
      </c>
      <c r="I9" s="162">
        <f>SUM('6511 Expenditures'!K15)</f>
        <v>72913.705200000026</v>
      </c>
      <c r="J9" s="162">
        <f>SUM('6511 Expenditures'!L15)</f>
        <v>76559.390460000024</v>
      </c>
    </row>
    <row r="10" spans="1:10" ht="15" x14ac:dyDescent="0.2">
      <c r="A10" s="141" t="s">
        <v>326</v>
      </c>
      <c r="B10" s="129" t="s">
        <v>195</v>
      </c>
      <c r="C10" s="162">
        <f>SUM('6511 Expenditures'!E16)</f>
        <v>0</v>
      </c>
      <c r="D10" s="162">
        <f>SUM('6511 Expenditures'!F16)</f>
        <v>0</v>
      </c>
      <c r="E10" s="162">
        <f>SUM('6511 Expenditures'!G16)</f>
        <v>0</v>
      </c>
      <c r="F10" s="162">
        <f>SUM('6511 Expenditures'!H16)</f>
        <v>0</v>
      </c>
      <c r="G10" s="162">
        <f>SUM('6511 Expenditures'!I16)</f>
        <v>0</v>
      </c>
      <c r="H10" s="162">
        <f>SUM('6511 Expenditures'!J16)</f>
        <v>0</v>
      </c>
      <c r="I10" s="162">
        <f>SUM('6511 Expenditures'!K16)</f>
        <v>0</v>
      </c>
      <c r="J10" s="162">
        <f>SUM('6511 Expenditures'!L16)</f>
        <v>0</v>
      </c>
    </row>
    <row r="11" spans="1:10" ht="15" x14ac:dyDescent="0.2">
      <c r="A11" s="142"/>
      <c r="B11" s="143" t="s">
        <v>476</v>
      </c>
      <c r="C11" s="168">
        <f t="shared" ref="C11:J11" si="0">SUM(C5:C10)</f>
        <v>239750</v>
      </c>
      <c r="D11" s="168">
        <f t="shared" si="0"/>
        <v>249000</v>
      </c>
      <c r="E11" s="168">
        <f t="shared" si="0"/>
        <v>261120</v>
      </c>
      <c r="F11" s="168">
        <f t="shared" si="0"/>
        <v>274035.60000000003</v>
      </c>
      <c r="G11" s="168">
        <f t="shared" si="0"/>
        <v>283991.94000000006</v>
      </c>
      <c r="H11" s="168">
        <f t="shared" si="0"/>
        <v>294371.18820000003</v>
      </c>
      <c r="I11" s="168">
        <f t="shared" si="0"/>
        <v>305192.9918340001</v>
      </c>
      <c r="J11" s="168">
        <f t="shared" si="0"/>
        <v>316477.95053418004</v>
      </c>
    </row>
    <row r="12" spans="1:10" ht="15" x14ac:dyDescent="0.2">
      <c r="A12" s="141"/>
      <c r="B12" s="138"/>
      <c r="C12" s="86"/>
      <c r="D12" s="86"/>
      <c r="E12" s="86"/>
      <c r="F12" s="86"/>
      <c r="G12" s="86"/>
      <c r="H12" s="86"/>
      <c r="I12" s="86"/>
      <c r="J12" s="86"/>
    </row>
    <row r="13" spans="1:10" ht="15" x14ac:dyDescent="0.2">
      <c r="A13" s="140" t="s">
        <v>471</v>
      </c>
      <c r="B13" s="138"/>
      <c r="C13" s="86"/>
      <c r="D13" s="86"/>
      <c r="E13" s="86"/>
      <c r="F13" s="86"/>
      <c r="G13" s="86"/>
      <c r="H13" s="86"/>
      <c r="I13" s="86"/>
      <c r="J13" s="86"/>
    </row>
    <row r="14" spans="1:10" ht="15" x14ac:dyDescent="0.2">
      <c r="A14" s="141" t="s">
        <v>271</v>
      </c>
      <c r="B14" s="129" t="s">
        <v>135</v>
      </c>
      <c r="C14" s="162">
        <f>SUM('6511 Expenditures'!E19)</f>
        <v>20000</v>
      </c>
      <c r="D14" s="162">
        <f>SUM('6511 Expenditures'!F19)</f>
        <v>19920</v>
      </c>
      <c r="E14" s="162">
        <f>SUM('6511 Expenditures'!G19)</f>
        <v>20889.600000000002</v>
      </c>
      <c r="F14" s="162">
        <f>SUM('6511 Expenditures'!H19)</f>
        <v>21922.848000000002</v>
      </c>
      <c r="G14" s="162">
        <f>SUM('6511 Expenditures'!I19)</f>
        <v>22719.355200000005</v>
      </c>
      <c r="H14" s="162">
        <f>SUM('6511 Expenditures'!J19)</f>
        <v>23549.695056000004</v>
      </c>
      <c r="I14" s="162">
        <f>SUM('6511 Expenditures'!K19)</f>
        <v>24415.43934672001</v>
      </c>
      <c r="J14" s="162">
        <f>SUM('6511 Expenditures'!L19)</f>
        <v>25318.236042734403</v>
      </c>
    </row>
    <row r="15" spans="1:10" ht="15" x14ac:dyDescent="0.2">
      <c r="A15" s="141" t="s">
        <v>272</v>
      </c>
      <c r="B15" s="129" t="s">
        <v>138</v>
      </c>
      <c r="C15" s="162">
        <f>SUM('6511 Expenditures'!E20)</f>
        <v>1700</v>
      </c>
      <c r="D15" s="162">
        <f>SUM('6511 Expenditures'!F20)</f>
        <v>1245</v>
      </c>
      <c r="E15" s="162">
        <f>SUM('6511 Expenditures'!G20)</f>
        <v>1305.6000000000001</v>
      </c>
      <c r="F15" s="162">
        <f>SUM('6511 Expenditures'!H20)</f>
        <v>1370.1780000000001</v>
      </c>
      <c r="G15" s="162">
        <f>SUM('6511 Expenditures'!I20)</f>
        <v>1419.9597000000003</v>
      </c>
      <c r="H15" s="162">
        <f>SUM('6511 Expenditures'!J20)</f>
        <v>1471.8559410000003</v>
      </c>
      <c r="I15" s="162">
        <f>SUM('6511 Expenditures'!K20)</f>
        <v>1525.9649591700006</v>
      </c>
      <c r="J15" s="162">
        <f>SUM('6511 Expenditures'!L20)</f>
        <v>1582.3897526709002</v>
      </c>
    </row>
    <row r="16" spans="1:10" ht="15" x14ac:dyDescent="0.2">
      <c r="A16" s="141" t="s">
        <v>273</v>
      </c>
      <c r="B16" s="129" t="s">
        <v>144</v>
      </c>
      <c r="C16" s="162">
        <f>SUM('6511 Expenditures'!E21)</f>
        <v>29000</v>
      </c>
      <c r="D16" s="162">
        <f>SUM('6511 Expenditures'!F21)</f>
        <v>19920</v>
      </c>
      <c r="E16" s="162">
        <f>SUM('6511 Expenditures'!G21)</f>
        <v>20889.600000000002</v>
      </c>
      <c r="F16" s="162">
        <f>SUM('6511 Expenditures'!H21)</f>
        <v>21922.848000000002</v>
      </c>
      <c r="G16" s="162">
        <f>SUM('6511 Expenditures'!I21)</f>
        <v>22719.355200000005</v>
      </c>
      <c r="H16" s="162">
        <f>SUM('6511 Expenditures'!J21)</f>
        <v>23549.695056000004</v>
      </c>
      <c r="I16" s="162">
        <f>SUM('6511 Expenditures'!K21)</f>
        <v>24415.43934672001</v>
      </c>
      <c r="J16" s="162">
        <f>SUM('6511 Expenditures'!L21)</f>
        <v>25318.236042734403</v>
      </c>
    </row>
    <row r="17" spans="1:10" ht="15" x14ac:dyDescent="0.2">
      <c r="A17" s="141" t="s">
        <v>274</v>
      </c>
      <c r="B17" s="129" t="s">
        <v>143</v>
      </c>
      <c r="C17" s="162">
        <f>SUM('6511 Expenditures'!E22)</f>
        <v>100</v>
      </c>
      <c r="D17" s="162">
        <f>SUM('6511 Expenditures'!F22)</f>
        <v>0</v>
      </c>
      <c r="E17" s="162">
        <f>SUM('6511 Expenditures'!G22)</f>
        <v>0</v>
      </c>
      <c r="F17" s="162">
        <f>SUM('6511 Expenditures'!H22)</f>
        <v>0</v>
      </c>
      <c r="G17" s="162">
        <f>SUM('6511 Expenditures'!I22)</f>
        <v>0</v>
      </c>
      <c r="H17" s="162">
        <f>SUM('6511 Expenditures'!J22)</f>
        <v>0</v>
      </c>
      <c r="I17" s="162">
        <f>SUM('6511 Expenditures'!K22)</f>
        <v>0</v>
      </c>
      <c r="J17" s="162">
        <f>SUM('6511 Expenditures'!L22)</f>
        <v>0</v>
      </c>
    </row>
    <row r="18" spans="1:10" ht="15" x14ac:dyDescent="0.2">
      <c r="A18" s="141" t="s">
        <v>275</v>
      </c>
      <c r="B18" s="129" t="s">
        <v>191</v>
      </c>
      <c r="C18" s="162">
        <f>SUM('6511 Expenditures'!E23)</f>
        <v>0</v>
      </c>
      <c r="D18" s="162">
        <f>SUM('6511 Expenditures'!F23)</f>
        <v>0</v>
      </c>
      <c r="E18" s="162">
        <f>SUM('6511 Expenditures'!G23)</f>
        <v>0</v>
      </c>
      <c r="F18" s="162">
        <f>SUM('6511 Expenditures'!H23)</f>
        <v>0</v>
      </c>
      <c r="G18" s="162">
        <f>SUM('6511 Expenditures'!I23)</f>
        <v>0</v>
      </c>
      <c r="H18" s="162">
        <f>SUM('6511 Expenditures'!J23)</f>
        <v>0</v>
      </c>
      <c r="I18" s="162">
        <f>SUM('6511 Expenditures'!K23)</f>
        <v>0</v>
      </c>
      <c r="J18" s="162">
        <f>SUM('6511 Expenditures'!L23)</f>
        <v>0</v>
      </c>
    </row>
    <row r="19" spans="1:10" ht="15" x14ac:dyDescent="0.2">
      <c r="A19" s="141" t="s">
        <v>276</v>
      </c>
      <c r="B19" s="129" t="s">
        <v>147</v>
      </c>
      <c r="C19" s="162">
        <f>SUM('6511 Expenditures'!E24)</f>
        <v>34700</v>
      </c>
      <c r="D19" s="162">
        <f>SUM('6511 Expenditures'!F24)</f>
        <v>36435</v>
      </c>
      <c r="E19" s="162">
        <f>SUM('6511 Expenditures'!G24)</f>
        <v>37528.050000000003</v>
      </c>
      <c r="F19" s="162">
        <f>SUM('6511 Expenditures'!H24)</f>
        <v>38653.891500000005</v>
      </c>
      <c r="G19" s="162">
        <f>SUM('6511 Expenditures'!I24)</f>
        <v>39813.508245000005</v>
      </c>
      <c r="H19" s="162">
        <f>SUM('6511 Expenditures'!J24)</f>
        <v>41007.913492350002</v>
      </c>
      <c r="I19" s="162">
        <f>SUM('6511 Expenditures'!K24)</f>
        <v>42238.150897120504</v>
      </c>
      <c r="J19" s="162">
        <f>SUM('6511 Expenditures'!L24)</f>
        <v>43505.295424034121</v>
      </c>
    </row>
    <row r="20" spans="1:10" ht="15" x14ac:dyDescent="0.2">
      <c r="A20" s="141" t="s">
        <v>277</v>
      </c>
      <c r="B20" s="129" t="s">
        <v>146</v>
      </c>
      <c r="C20" s="162">
        <f>SUM('6511 Expenditures'!E25)</f>
        <v>3600</v>
      </c>
      <c r="D20" s="162">
        <f>SUM('6511 Expenditures'!F25)</f>
        <v>6000</v>
      </c>
      <c r="E20" s="162">
        <f>SUM('6511 Expenditures'!G25)</f>
        <v>6000</v>
      </c>
      <c r="F20" s="162">
        <f>SUM('6511 Expenditures'!H25)</f>
        <v>6000</v>
      </c>
      <c r="G20" s="162">
        <f>SUM('6511 Expenditures'!I25)</f>
        <v>6000</v>
      </c>
      <c r="H20" s="162">
        <f>SUM('6511 Expenditures'!J25)</f>
        <v>6000</v>
      </c>
      <c r="I20" s="162">
        <f>SUM('6511 Expenditures'!K25)</f>
        <v>6000</v>
      </c>
      <c r="J20" s="162">
        <f>SUM('6511 Expenditures'!L25)</f>
        <v>6000</v>
      </c>
    </row>
    <row r="21" spans="1:10" ht="15" x14ac:dyDescent="0.2">
      <c r="A21" s="141" t="s">
        <v>438</v>
      </c>
      <c r="B21" s="157" t="s">
        <v>145</v>
      </c>
      <c r="C21" s="162">
        <f>SUM('6511 Expenditures'!E26)</f>
        <v>6000</v>
      </c>
      <c r="D21" s="162">
        <f>SUM('6511 Expenditures'!F26)</f>
        <v>9000</v>
      </c>
      <c r="E21" s="162">
        <f>SUM('6511 Expenditures'!G26)</f>
        <v>9450</v>
      </c>
      <c r="F21" s="162">
        <f>SUM('6511 Expenditures'!H26)</f>
        <v>9922.5</v>
      </c>
      <c r="G21" s="162">
        <f>SUM('6511 Expenditures'!I26)</f>
        <v>10418.625</v>
      </c>
      <c r="H21" s="162">
        <f>SUM('6511 Expenditures'!J26)</f>
        <v>10939.55625</v>
      </c>
      <c r="I21" s="162">
        <f>SUM('6511 Expenditures'!K26)</f>
        <v>11486.534062500001</v>
      </c>
      <c r="J21" s="162">
        <f>SUM('6511 Expenditures'!L26)</f>
        <v>12060.860765625001</v>
      </c>
    </row>
    <row r="22" spans="1:10" ht="15" x14ac:dyDescent="0.2">
      <c r="A22" s="141" t="s">
        <v>278</v>
      </c>
      <c r="B22" s="129" t="s">
        <v>148</v>
      </c>
      <c r="C22" s="162">
        <f>SUM('6511 Expenditures'!E28)</f>
        <v>10800</v>
      </c>
      <c r="D22" s="162">
        <f>SUM('6511 Expenditures'!F28)</f>
        <v>13000</v>
      </c>
      <c r="E22" s="162">
        <f>SUM('6511 Expenditures'!G28)</f>
        <v>13390</v>
      </c>
      <c r="F22" s="162">
        <f>SUM('6511 Expenditures'!H28)</f>
        <v>13791.7</v>
      </c>
      <c r="G22" s="162">
        <f>SUM('6511 Expenditures'!I28)</f>
        <v>14205.451000000001</v>
      </c>
      <c r="H22" s="162">
        <f>SUM('6511 Expenditures'!J28)</f>
        <v>14631.614530000001</v>
      </c>
      <c r="I22" s="162">
        <f>SUM('6511 Expenditures'!K28)</f>
        <v>15070.562965900001</v>
      </c>
      <c r="J22" s="162">
        <f>SUM('6511 Expenditures'!L28)</f>
        <v>15522.679854877</v>
      </c>
    </row>
    <row r="23" spans="1:10" ht="15" x14ac:dyDescent="0.2">
      <c r="A23" s="141" t="s">
        <v>279</v>
      </c>
      <c r="B23" s="129" t="s">
        <v>202</v>
      </c>
      <c r="C23" s="162">
        <f>SUM('6511 Expenditures'!E29)</f>
        <v>300</v>
      </c>
      <c r="D23" s="162">
        <f>SUM('6511 Expenditures'!F29)</f>
        <v>600</v>
      </c>
      <c r="E23" s="162">
        <f>SUM('6511 Expenditures'!G29)</f>
        <v>391.68</v>
      </c>
      <c r="F23" s="162">
        <f>SUM('6511 Expenditures'!H29)</f>
        <v>411.05340000000007</v>
      </c>
      <c r="G23" s="162">
        <f>SUM('6511 Expenditures'!I29)</f>
        <v>425.98791000000011</v>
      </c>
      <c r="H23" s="162">
        <f>SUM('6511 Expenditures'!J29)</f>
        <v>441.55678230000007</v>
      </c>
      <c r="I23" s="162">
        <f>SUM('6511 Expenditures'!K29)</f>
        <v>457.78948775100014</v>
      </c>
      <c r="J23" s="162">
        <f>SUM('6511 Expenditures'!L29)</f>
        <v>474.71692580127007</v>
      </c>
    </row>
    <row r="24" spans="1:10" ht="15" x14ac:dyDescent="0.2">
      <c r="A24" s="141" t="s">
        <v>280</v>
      </c>
      <c r="B24" s="129" t="s">
        <v>149</v>
      </c>
      <c r="C24" s="162">
        <f>SUM('6511 Expenditures'!E30)</f>
        <v>0</v>
      </c>
      <c r="D24" s="162">
        <f>SUM('6511 Expenditures'!F30)</f>
        <v>0</v>
      </c>
      <c r="E24" s="162">
        <f>SUM('6511 Expenditures'!G30)</f>
        <v>0</v>
      </c>
      <c r="F24" s="162">
        <f>SUM('6511 Expenditures'!H30)</f>
        <v>0</v>
      </c>
      <c r="G24" s="162">
        <f>SUM('6511 Expenditures'!I30)</f>
        <v>0</v>
      </c>
      <c r="H24" s="162">
        <f>SUM('6511 Expenditures'!J30)</f>
        <v>0</v>
      </c>
      <c r="I24" s="162">
        <f>SUM('6511 Expenditures'!K30)</f>
        <v>0</v>
      </c>
      <c r="J24" s="162">
        <f>SUM('6511 Expenditures'!L30)</f>
        <v>0</v>
      </c>
    </row>
    <row r="25" spans="1:10" ht="15" x14ac:dyDescent="0.2">
      <c r="A25" s="141" t="s">
        <v>281</v>
      </c>
      <c r="B25" s="129" t="s">
        <v>150</v>
      </c>
      <c r="C25" s="162">
        <f>SUM('6511 Expenditures'!E31)</f>
        <v>6100</v>
      </c>
      <c r="D25" s="162">
        <f>SUM('6511 Expenditures'!F31)</f>
        <v>7500</v>
      </c>
      <c r="E25" s="162">
        <f>SUM('6511 Expenditures'!G31)</f>
        <v>7500</v>
      </c>
      <c r="F25" s="162">
        <f>SUM('6511 Expenditures'!H31)</f>
        <v>7500</v>
      </c>
      <c r="G25" s="162">
        <f>SUM('6511 Expenditures'!I31)</f>
        <v>7500</v>
      </c>
      <c r="H25" s="162">
        <f>SUM('6511 Expenditures'!J31)</f>
        <v>7500</v>
      </c>
      <c r="I25" s="162">
        <f>SUM('6511 Expenditures'!K31)</f>
        <v>7500</v>
      </c>
      <c r="J25" s="162">
        <f>SUM('6511 Expenditures'!L31)</f>
        <v>7500</v>
      </c>
    </row>
    <row r="26" spans="1:10" ht="15" x14ac:dyDescent="0.2">
      <c r="A26" s="141" t="s">
        <v>327</v>
      </c>
      <c r="B26" s="129" t="s">
        <v>203</v>
      </c>
      <c r="C26" s="162">
        <f>SUM('6511 Expenditures'!E32)</f>
        <v>325</v>
      </c>
      <c r="D26" s="162">
        <f>SUM('6511 Expenditures'!F32)</f>
        <v>500</v>
      </c>
      <c r="E26" s="162">
        <f>SUM('6511 Expenditures'!G32)</f>
        <v>525</v>
      </c>
      <c r="F26" s="162">
        <f>SUM('6511 Expenditures'!H32)</f>
        <v>551.25</v>
      </c>
      <c r="G26" s="162">
        <f>SUM('6511 Expenditures'!I32)</f>
        <v>578.8125</v>
      </c>
      <c r="H26" s="162">
        <f>SUM('6511 Expenditures'!J32)</f>
        <v>607.75312500000007</v>
      </c>
      <c r="I26" s="162">
        <f>SUM('6511 Expenditures'!K32)</f>
        <v>638.14078125000015</v>
      </c>
      <c r="J26" s="162">
        <f>SUM('6511 Expenditures'!L32)</f>
        <v>670.04782031250022</v>
      </c>
    </row>
    <row r="27" spans="1:10" ht="15" x14ac:dyDescent="0.2">
      <c r="A27" s="141"/>
      <c r="B27" s="143" t="s">
        <v>476</v>
      </c>
      <c r="C27" s="194">
        <f t="shared" ref="C27:J27" si="1">SUM(C14:C26)</f>
        <v>112625</v>
      </c>
      <c r="D27" s="194">
        <f t="shared" si="1"/>
        <v>114120</v>
      </c>
      <c r="E27" s="194">
        <f t="shared" si="1"/>
        <v>117869.53</v>
      </c>
      <c r="F27" s="194">
        <f t="shared" si="1"/>
        <v>122046.26890000001</v>
      </c>
      <c r="G27" s="194">
        <f t="shared" si="1"/>
        <v>125801.05475500002</v>
      </c>
      <c r="H27" s="194">
        <f t="shared" si="1"/>
        <v>129699.64023265001</v>
      </c>
      <c r="I27" s="194">
        <f t="shared" si="1"/>
        <v>133748.02184713152</v>
      </c>
      <c r="J27" s="194">
        <f t="shared" si="1"/>
        <v>137952.4626287896</v>
      </c>
    </row>
    <row r="28" spans="1:10" ht="15" x14ac:dyDescent="0.2">
      <c r="A28" s="141"/>
      <c r="B28" s="138"/>
      <c r="C28" s="86"/>
      <c r="D28" s="86"/>
      <c r="E28" s="86"/>
      <c r="F28" s="86"/>
      <c r="G28" s="86"/>
      <c r="H28" s="86"/>
      <c r="I28" s="86"/>
      <c r="J28" s="86"/>
    </row>
    <row r="29" spans="1:10" ht="15" x14ac:dyDescent="0.2">
      <c r="A29" s="140" t="s">
        <v>472</v>
      </c>
      <c r="B29" s="138"/>
      <c r="C29" s="86"/>
      <c r="D29" s="86"/>
      <c r="E29" s="86"/>
      <c r="F29" s="86"/>
      <c r="G29" s="86"/>
      <c r="H29" s="86"/>
      <c r="I29" s="86"/>
      <c r="J29" s="86"/>
    </row>
    <row r="30" spans="1:10" ht="15" x14ac:dyDescent="0.2">
      <c r="A30" s="141" t="s">
        <v>282</v>
      </c>
      <c r="B30" s="129" t="s">
        <v>128</v>
      </c>
      <c r="C30" s="162">
        <f>SUM('6511 Expenditures'!E81)</f>
        <v>281000</v>
      </c>
      <c r="D30" s="162">
        <f>SUM('6511 Expenditures'!F81)</f>
        <v>260000</v>
      </c>
      <c r="E30" s="162">
        <f>SUM('6511 Expenditures'!G81)</f>
        <v>325000</v>
      </c>
      <c r="F30" s="162">
        <f>SUM('6511 Expenditures'!H81)</f>
        <v>351000</v>
      </c>
      <c r="G30" s="162">
        <f>SUM('6511 Expenditures'!I81)</f>
        <v>379080</v>
      </c>
      <c r="H30" s="162">
        <f>SUM('6511 Expenditures'!J81)</f>
        <v>409406.4</v>
      </c>
      <c r="I30" s="162">
        <f>SUM('6511 Expenditures'!K81)</f>
        <v>442158.91200000007</v>
      </c>
      <c r="J30" s="162">
        <f>SUM('6511 Expenditures'!L81)</f>
        <v>464266.8576000001</v>
      </c>
    </row>
    <row r="31" spans="1:10" ht="15" x14ac:dyDescent="0.25">
      <c r="A31" s="95" t="s">
        <v>374</v>
      </c>
      <c r="B31" s="111" t="s">
        <v>375</v>
      </c>
      <c r="C31" s="162">
        <f>SUM('6511 Expenditures'!E82)</f>
        <v>0</v>
      </c>
      <c r="D31" s="162">
        <f>SUM('6511 Expenditures'!F82)</f>
        <v>57500</v>
      </c>
      <c r="E31" s="162">
        <f>SUM('6511 Expenditures'!G82)</f>
        <v>120000</v>
      </c>
      <c r="F31" s="162">
        <f>SUM('6511 Expenditures'!H82)</f>
        <v>123600</v>
      </c>
      <c r="G31" s="162">
        <f>SUM('6511 Expenditures'!I82)</f>
        <v>127308</v>
      </c>
      <c r="H31" s="162">
        <f>SUM('6511 Expenditures'!J82)</f>
        <v>131127.24</v>
      </c>
      <c r="I31" s="162">
        <f>SUM('6511 Expenditures'!K82)</f>
        <v>135061.05719999998</v>
      </c>
      <c r="J31" s="162">
        <f>SUM('6511 Expenditures'!L82)</f>
        <v>139112.888916</v>
      </c>
    </row>
    <row r="32" spans="1:10" ht="15" x14ac:dyDescent="0.2">
      <c r="A32" s="141" t="s">
        <v>283</v>
      </c>
      <c r="B32" s="129" t="s">
        <v>127</v>
      </c>
      <c r="C32" s="162">
        <f>SUM('6511 Expenditures'!E84)</f>
        <v>408600</v>
      </c>
      <c r="D32" s="162">
        <f>SUM('6511 Expenditures'!F84)</f>
        <v>464000</v>
      </c>
      <c r="E32" s="162">
        <f>SUM('6511 Expenditures'!G84)</f>
        <v>505000</v>
      </c>
      <c r="F32" s="162">
        <f>SUM('6511 Expenditures'!H84)</f>
        <v>530250</v>
      </c>
      <c r="G32" s="162">
        <f>SUM('6511 Expenditures'!I84)</f>
        <v>606765</v>
      </c>
      <c r="H32" s="162">
        <f>SUM('6511 Expenditures'!J84)</f>
        <v>506763</v>
      </c>
      <c r="I32" s="162">
        <f>SUM('6511 Expenditures'!K84)</f>
        <v>532101.15</v>
      </c>
      <c r="J32" s="162">
        <f>SUM('6511 Expenditures'!L84)</f>
        <v>558706.20750000002</v>
      </c>
    </row>
    <row r="33" spans="1:10" ht="15" x14ac:dyDescent="0.2">
      <c r="A33" s="141" t="s">
        <v>284</v>
      </c>
      <c r="B33" s="129" t="s">
        <v>129</v>
      </c>
      <c r="C33" s="162">
        <f>SUM('6511 Expenditures'!E86)</f>
        <v>70000</v>
      </c>
      <c r="D33" s="162">
        <f>SUM('6511 Expenditures'!F86)</f>
        <v>70000</v>
      </c>
      <c r="E33" s="162">
        <f>SUM('6511 Expenditures'!G86)</f>
        <v>90000</v>
      </c>
      <c r="F33" s="162">
        <f>SUM('6511 Expenditures'!H86)</f>
        <v>92700</v>
      </c>
      <c r="G33" s="162">
        <f>SUM('6511 Expenditures'!I86)</f>
        <v>95481</v>
      </c>
      <c r="H33" s="162">
        <f>SUM('6511 Expenditures'!J86)</f>
        <v>98345.430000000008</v>
      </c>
      <c r="I33" s="162">
        <f>SUM('6511 Expenditures'!K86)</f>
        <v>101295.79290000001</v>
      </c>
      <c r="J33" s="162">
        <f>SUM('6511 Expenditures'!L86)</f>
        <v>104334.66668700002</v>
      </c>
    </row>
    <row r="34" spans="1:10" ht="15" x14ac:dyDescent="0.2">
      <c r="A34" s="142" t="s">
        <v>328</v>
      </c>
      <c r="B34" s="129" t="s">
        <v>204</v>
      </c>
      <c r="C34" s="162">
        <f>SUM('6511 Expenditures'!E87)</f>
        <v>2100</v>
      </c>
      <c r="D34" s="162">
        <f>SUM('6511 Expenditures'!F87)</f>
        <v>2100</v>
      </c>
      <c r="E34" s="162">
        <f>SUM('6511 Expenditures'!G87)</f>
        <v>2100</v>
      </c>
      <c r="F34" s="162">
        <f>SUM('6511 Expenditures'!H87)</f>
        <v>2100</v>
      </c>
      <c r="G34" s="162">
        <f>SUM('6511 Expenditures'!I87)</f>
        <v>2100</v>
      </c>
      <c r="H34" s="162">
        <f>SUM('6511 Expenditures'!J87)</f>
        <v>2100</v>
      </c>
      <c r="I34" s="162">
        <f>SUM('6511 Expenditures'!K87)</f>
        <v>2100</v>
      </c>
      <c r="J34" s="162">
        <f>SUM('6511 Expenditures'!L87)</f>
        <v>2100</v>
      </c>
    </row>
    <row r="35" spans="1:10" ht="15" x14ac:dyDescent="0.2">
      <c r="A35" s="142" t="s">
        <v>285</v>
      </c>
      <c r="B35" s="157" t="s">
        <v>480</v>
      </c>
      <c r="C35" s="162">
        <f>SUM('6511 Expenditures'!E88)</f>
        <v>80000</v>
      </c>
      <c r="D35" s="162">
        <f>SUM('6511 Expenditures'!F88)</f>
        <v>35000</v>
      </c>
      <c r="E35" s="162">
        <f>SUM('6511 Expenditures'!G88)</f>
        <v>37450</v>
      </c>
      <c r="F35" s="162">
        <f>SUM('6511 Expenditures'!H88)</f>
        <v>40071.5</v>
      </c>
      <c r="G35" s="162">
        <f>SUM('6511 Expenditures'!I88)</f>
        <v>70000</v>
      </c>
      <c r="H35" s="162">
        <f>SUM('6511 Expenditures'!J88)</f>
        <v>45681.509999999995</v>
      </c>
      <c r="I35" s="162">
        <f>SUM('6511 Expenditures'!K88)</f>
        <v>48879.215700000001</v>
      </c>
      <c r="J35" s="162">
        <f>SUM('6511 Expenditures'!L88)</f>
        <v>52300.760799000003</v>
      </c>
    </row>
    <row r="36" spans="1:10" ht="15" x14ac:dyDescent="0.2">
      <c r="A36" s="142"/>
      <c r="B36" s="143" t="s">
        <v>476</v>
      </c>
      <c r="C36" s="194">
        <f t="shared" ref="C36:J36" si="2">SUM(C30:C35)</f>
        <v>841700</v>
      </c>
      <c r="D36" s="194">
        <f t="shared" si="2"/>
        <v>888600</v>
      </c>
      <c r="E36" s="194">
        <f t="shared" si="2"/>
        <v>1079550</v>
      </c>
      <c r="F36" s="194">
        <f t="shared" si="2"/>
        <v>1139721.5</v>
      </c>
      <c r="G36" s="194">
        <f t="shared" si="2"/>
        <v>1280734</v>
      </c>
      <c r="H36" s="194">
        <f t="shared" si="2"/>
        <v>1193423.58</v>
      </c>
      <c r="I36" s="194">
        <f t="shared" si="2"/>
        <v>1261596.1278000001</v>
      </c>
      <c r="J36" s="194">
        <f t="shared" si="2"/>
        <v>1320821.3815020001</v>
      </c>
    </row>
    <row r="37" spans="1:10" ht="15" x14ac:dyDescent="0.2">
      <c r="A37" s="141"/>
      <c r="B37" s="138"/>
      <c r="C37" s="86"/>
      <c r="D37" s="86"/>
      <c r="E37" s="86"/>
      <c r="F37" s="86"/>
      <c r="G37" s="86"/>
      <c r="H37" s="86"/>
      <c r="I37" s="86"/>
      <c r="J37" s="86"/>
    </row>
    <row r="38" spans="1:10" ht="15" x14ac:dyDescent="0.2">
      <c r="A38" s="140" t="s">
        <v>473</v>
      </c>
      <c r="B38" s="138"/>
      <c r="C38" s="86"/>
      <c r="D38" s="86"/>
      <c r="E38" s="86"/>
      <c r="F38" s="86"/>
      <c r="G38" s="86"/>
      <c r="H38" s="86"/>
      <c r="I38" s="86"/>
      <c r="J38" s="86"/>
    </row>
    <row r="39" spans="1:10" ht="15" x14ac:dyDescent="0.2">
      <c r="A39" s="141" t="s">
        <v>286</v>
      </c>
      <c r="B39" s="129" t="s">
        <v>136</v>
      </c>
      <c r="C39" s="162">
        <f>SUM('6511 Expenditures'!E91)</f>
        <v>65700</v>
      </c>
      <c r="D39" s="162">
        <f>SUM('6511 Expenditures'!F91)</f>
        <v>71088</v>
      </c>
      <c r="E39" s="162">
        <f>SUM('6511 Expenditures'!G91)</f>
        <v>86364</v>
      </c>
      <c r="F39" s="162">
        <f>SUM('6511 Expenditures'!H91)</f>
        <v>91177.72</v>
      </c>
      <c r="G39" s="162">
        <f>SUM('6511 Expenditures'!I91)</f>
        <v>102458.72</v>
      </c>
      <c r="H39" s="162">
        <f>SUM('6511 Expenditures'!J91)</f>
        <v>95473.886400000003</v>
      </c>
      <c r="I39" s="162">
        <f>SUM('6511 Expenditures'!K91)</f>
        <v>100927.69022400002</v>
      </c>
      <c r="J39" s="162">
        <f>SUM('6511 Expenditures'!L91)</f>
        <v>105665.71052016002</v>
      </c>
    </row>
    <row r="40" spans="1:10" ht="15" x14ac:dyDescent="0.2">
      <c r="A40" s="141" t="s">
        <v>287</v>
      </c>
      <c r="B40" s="129" t="s">
        <v>139</v>
      </c>
      <c r="C40" s="162">
        <f>SUM('6511 Expenditures'!E92)</f>
        <v>34000</v>
      </c>
      <c r="D40" s="162">
        <f>SUM('6511 Expenditures'!F92)</f>
        <v>35544</v>
      </c>
      <c r="E40" s="162">
        <f>SUM('6511 Expenditures'!G92)</f>
        <v>43182</v>
      </c>
      <c r="F40" s="162">
        <f>SUM('6511 Expenditures'!H92)</f>
        <v>45588.86</v>
      </c>
      <c r="G40" s="162">
        <f>SUM('6511 Expenditures'!I92)</f>
        <v>51229.36</v>
      </c>
      <c r="H40" s="162">
        <f>SUM('6511 Expenditures'!J92)</f>
        <v>47736.943200000002</v>
      </c>
      <c r="I40" s="162">
        <f>SUM('6511 Expenditures'!K92)</f>
        <v>50463.84511200001</v>
      </c>
      <c r="J40" s="162">
        <f>SUM('6511 Expenditures'!L92)</f>
        <v>52832.85526008001</v>
      </c>
    </row>
    <row r="41" spans="1:10" ht="15" x14ac:dyDescent="0.2">
      <c r="A41" s="141" t="s">
        <v>288</v>
      </c>
      <c r="B41" s="129" t="s">
        <v>151</v>
      </c>
      <c r="C41" s="162">
        <f>SUM('6511 Expenditures'!E93)</f>
        <v>38000</v>
      </c>
      <c r="D41" s="162">
        <f>SUM('6511 Expenditures'!F93)</f>
        <v>39987</v>
      </c>
      <c r="E41" s="162">
        <f>SUM('6511 Expenditures'!G93)</f>
        <v>48579.75</v>
      </c>
      <c r="F41" s="162">
        <f>SUM('6511 Expenditures'!H93)</f>
        <v>51287.467499999999</v>
      </c>
      <c r="G41" s="162">
        <f>SUM('6511 Expenditures'!I93)</f>
        <v>57633.03</v>
      </c>
      <c r="H41" s="162">
        <f>SUM('6511 Expenditures'!J93)</f>
        <v>53704.061099999999</v>
      </c>
      <c r="I41" s="162">
        <f>SUM('6511 Expenditures'!K93)</f>
        <v>56771.825751000004</v>
      </c>
      <c r="J41" s="162">
        <f>SUM('6511 Expenditures'!L93)</f>
        <v>59436.962167590005</v>
      </c>
    </row>
    <row r="42" spans="1:10" ht="15" x14ac:dyDescent="0.2">
      <c r="A42" s="141" t="s">
        <v>289</v>
      </c>
      <c r="B42" s="129" t="s">
        <v>153</v>
      </c>
      <c r="C42" s="162">
        <f>SUM('6511 Expenditures'!E94)</f>
        <v>123500</v>
      </c>
      <c r="D42" s="162">
        <f>SUM('6511 Expenditures'!F94)</f>
        <v>132145</v>
      </c>
      <c r="E42" s="162">
        <f>SUM('6511 Expenditures'!G94)</f>
        <v>143000</v>
      </c>
      <c r="F42" s="162">
        <f>SUM('6511 Expenditures'!H94)</f>
        <v>150150</v>
      </c>
      <c r="G42" s="162">
        <f>SUM('6511 Expenditures'!I94)</f>
        <v>157657.5</v>
      </c>
      <c r="H42" s="162">
        <f>SUM('6511 Expenditures'!J94)</f>
        <v>165540.375</v>
      </c>
      <c r="I42" s="162">
        <f>SUM('6511 Expenditures'!K94)</f>
        <v>173817.39375000002</v>
      </c>
      <c r="J42" s="162">
        <f>SUM('6511 Expenditures'!L94)</f>
        <v>182508.26343750002</v>
      </c>
    </row>
    <row r="43" spans="1:10" ht="15" x14ac:dyDescent="0.2">
      <c r="A43" s="141" t="s">
        <v>290</v>
      </c>
      <c r="B43" s="129" t="s">
        <v>152</v>
      </c>
      <c r="C43" s="162">
        <f>SUM('6511 Expenditures'!E95)</f>
        <v>10500</v>
      </c>
      <c r="D43" s="162">
        <f>SUM('6511 Expenditures'!F95)</f>
        <v>12000</v>
      </c>
      <c r="E43" s="162">
        <f>SUM('6511 Expenditures'!G95)</f>
        <v>12000</v>
      </c>
      <c r="F43" s="162">
        <f>SUM('6511 Expenditures'!H95)</f>
        <v>12000</v>
      </c>
      <c r="G43" s="162">
        <f>SUM('6511 Expenditures'!I95)</f>
        <v>12000</v>
      </c>
      <c r="H43" s="162">
        <f>SUM('6511 Expenditures'!J95)</f>
        <v>12000</v>
      </c>
      <c r="I43" s="162">
        <f>SUM('6511 Expenditures'!K95)</f>
        <v>12000</v>
      </c>
      <c r="J43" s="162">
        <f>SUM('6511 Expenditures'!L95)</f>
        <v>12000</v>
      </c>
    </row>
    <row r="44" spans="1:10" ht="15" x14ac:dyDescent="0.2">
      <c r="A44" s="141" t="s">
        <v>291</v>
      </c>
      <c r="B44" s="129" t="s">
        <v>193</v>
      </c>
      <c r="C44" s="162">
        <f>SUM('6511 Expenditures'!E96)</f>
        <v>0</v>
      </c>
      <c r="D44" s="162">
        <f>SUM('6511 Expenditures'!F96)</f>
        <v>0</v>
      </c>
      <c r="E44" s="162">
        <f>SUM('6511 Expenditures'!G96)</f>
        <v>0</v>
      </c>
      <c r="F44" s="162">
        <f>SUM('6511 Expenditures'!H96)</f>
        <v>0</v>
      </c>
      <c r="G44" s="162">
        <f>SUM('6511 Expenditures'!I96)</f>
        <v>0</v>
      </c>
      <c r="H44" s="162">
        <f>SUM('6511 Expenditures'!J96)</f>
        <v>0</v>
      </c>
      <c r="I44" s="162">
        <f>SUM('6511 Expenditures'!K96)</f>
        <v>0</v>
      </c>
      <c r="J44" s="162">
        <f>SUM('6511 Expenditures'!L96)</f>
        <v>0</v>
      </c>
    </row>
    <row r="45" spans="1:10" ht="15" x14ac:dyDescent="0.2">
      <c r="A45" s="141" t="s">
        <v>292</v>
      </c>
      <c r="B45" s="129" t="s">
        <v>154</v>
      </c>
      <c r="C45" s="162">
        <f>SUM('6511 Expenditures'!E97)</f>
        <v>14500</v>
      </c>
      <c r="D45" s="162">
        <f>SUM('6511 Expenditures'!F97)</f>
        <v>15950.000000000002</v>
      </c>
      <c r="E45" s="162">
        <f>SUM('6511 Expenditures'!G97)</f>
        <v>16747.500000000004</v>
      </c>
      <c r="F45" s="162">
        <f>SUM('6511 Expenditures'!H97)</f>
        <v>17584.875000000004</v>
      </c>
      <c r="G45" s="162">
        <f>SUM('6511 Expenditures'!I97)</f>
        <v>18464.118750000005</v>
      </c>
      <c r="H45" s="162">
        <f>SUM('6511 Expenditures'!J97)</f>
        <v>19387.324687500008</v>
      </c>
      <c r="I45" s="162">
        <f>SUM('6511 Expenditures'!K97)</f>
        <v>20356.690921875008</v>
      </c>
      <c r="J45" s="162">
        <f>SUM('6511 Expenditures'!L97)</f>
        <v>21374.52546796876</v>
      </c>
    </row>
    <row r="46" spans="1:10" ht="15" x14ac:dyDescent="0.2">
      <c r="A46" s="141" t="s">
        <v>293</v>
      </c>
      <c r="B46" s="129" t="s">
        <v>141</v>
      </c>
      <c r="C46" s="162">
        <f>SUM('6511 Expenditures'!E98)</f>
        <v>1200</v>
      </c>
      <c r="D46" s="162">
        <f>SUM('6511 Expenditures'!F98)</f>
        <v>1320</v>
      </c>
      <c r="E46" s="162">
        <f>SUM('6511 Expenditures'!G98)</f>
        <v>1619.325</v>
      </c>
      <c r="F46" s="162">
        <f>SUM('6511 Expenditures'!H98)</f>
        <v>1709.5822499999999</v>
      </c>
      <c r="G46" s="162">
        <f>SUM('6511 Expenditures'!I98)</f>
        <v>1921.1010000000001</v>
      </c>
      <c r="H46" s="162">
        <f>SUM('6511 Expenditures'!J98)</f>
        <v>1790.1353700000002</v>
      </c>
      <c r="I46" s="162">
        <f>SUM('6511 Expenditures'!K98)</f>
        <v>1892.3941917000002</v>
      </c>
      <c r="J46" s="162">
        <f>SUM('6511 Expenditures'!L98)</f>
        <v>1981.2320722530003</v>
      </c>
    </row>
    <row r="47" spans="1:10" ht="15" x14ac:dyDescent="0.2">
      <c r="A47" s="141" t="s">
        <v>294</v>
      </c>
      <c r="B47" s="129" t="s">
        <v>155</v>
      </c>
      <c r="C47" s="162">
        <v>0</v>
      </c>
      <c r="D47" s="162">
        <v>0</v>
      </c>
      <c r="E47" s="162">
        <v>0</v>
      </c>
      <c r="F47" s="162">
        <v>0</v>
      </c>
      <c r="G47" s="162">
        <v>0</v>
      </c>
      <c r="H47" s="162">
        <v>0</v>
      </c>
      <c r="I47" s="162">
        <v>0</v>
      </c>
      <c r="J47" s="162">
        <v>0</v>
      </c>
    </row>
    <row r="48" spans="1:10" ht="15" x14ac:dyDescent="0.2">
      <c r="A48" s="141" t="s">
        <v>295</v>
      </c>
      <c r="B48" s="129" t="s">
        <v>150</v>
      </c>
      <c r="C48" s="162">
        <f>SUM('6511 Expenditures'!E100)</f>
        <v>22300</v>
      </c>
      <c r="D48" s="162">
        <f>SUM('6511 Expenditures'!F100)</f>
        <v>24700</v>
      </c>
      <c r="E48" s="162">
        <f>SUM('6511 Expenditures'!G100)</f>
        <v>24700</v>
      </c>
      <c r="F48" s="162">
        <f>SUM('6511 Expenditures'!H100)</f>
        <v>24700</v>
      </c>
      <c r="G48" s="162">
        <f>SUM('6511 Expenditures'!I100)</f>
        <v>24700</v>
      </c>
      <c r="H48" s="162">
        <f>SUM('6511 Expenditures'!J100)</f>
        <v>24700</v>
      </c>
      <c r="I48" s="162">
        <f>SUM('6511 Expenditures'!K100)</f>
        <v>24700</v>
      </c>
      <c r="J48" s="162">
        <f>SUM('6511 Expenditures'!L100)</f>
        <v>24700</v>
      </c>
    </row>
    <row r="49" spans="1:10" ht="15" x14ac:dyDescent="0.2">
      <c r="A49" s="141" t="s">
        <v>296</v>
      </c>
      <c r="B49" s="129" t="s">
        <v>481</v>
      </c>
      <c r="C49" s="162">
        <f>SUM('6511 Expenditures'!E102)</f>
        <v>1500</v>
      </c>
      <c r="D49" s="162">
        <f>SUM('6511 Expenditures'!F102)</f>
        <v>1700</v>
      </c>
      <c r="E49" s="162">
        <f>SUM('6511 Expenditures'!G102)</f>
        <v>1785</v>
      </c>
      <c r="F49" s="162">
        <f>SUM('6511 Expenditures'!H102)</f>
        <v>1874.25</v>
      </c>
      <c r="G49" s="162">
        <f>SUM('6511 Expenditures'!I102)</f>
        <v>1967.9625000000001</v>
      </c>
      <c r="H49" s="162">
        <f>SUM('6511 Expenditures'!J102)</f>
        <v>2066.3606250000003</v>
      </c>
      <c r="I49" s="162">
        <f>SUM('6511 Expenditures'!K102)</f>
        <v>2169.6786562500006</v>
      </c>
      <c r="J49" s="162">
        <f>SUM('6511 Expenditures'!L102)</f>
        <v>2278.1625890625005</v>
      </c>
    </row>
    <row r="50" spans="1:10" ht="15" x14ac:dyDescent="0.2">
      <c r="A50" s="141" t="s">
        <v>297</v>
      </c>
      <c r="B50" s="129" t="s">
        <v>192</v>
      </c>
      <c r="C50" s="162">
        <f>SUM('6511 Expenditures'!E103)</f>
        <v>3700</v>
      </c>
      <c r="D50" s="162">
        <f>SUM('6511 Expenditures'!F103)</f>
        <v>5000</v>
      </c>
      <c r="E50" s="162">
        <f>SUM('6511 Expenditures'!G103)</f>
        <v>5250</v>
      </c>
      <c r="F50" s="162">
        <f>SUM('6511 Expenditures'!H103)</f>
        <v>5512.5</v>
      </c>
      <c r="G50" s="162">
        <f>SUM('6511 Expenditures'!I103)</f>
        <v>5788.125</v>
      </c>
      <c r="H50" s="162">
        <f>SUM('6511 Expenditures'!J103)</f>
        <v>6077.53125</v>
      </c>
      <c r="I50" s="162">
        <f>SUM('6511 Expenditures'!K103)</f>
        <v>6381.4078125000005</v>
      </c>
      <c r="J50" s="162">
        <f>SUM('6511 Expenditures'!L103)</f>
        <v>6700.4782031250006</v>
      </c>
    </row>
    <row r="51" spans="1:10" ht="15" x14ac:dyDescent="0.2">
      <c r="A51" s="141"/>
      <c r="B51" s="143" t="s">
        <v>476</v>
      </c>
      <c r="C51" s="194">
        <f t="shared" ref="C51:J51" si="3">SUM(C39:C50)</f>
        <v>314900</v>
      </c>
      <c r="D51" s="194">
        <f t="shared" si="3"/>
        <v>339434</v>
      </c>
      <c r="E51" s="194">
        <f t="shared" si="3"/>
        <v>383227.57500000001</v>
      </c>
      <c r="F51" s="194">
        <f t="shared" si="3"/>
        <v>401585.25474999996</v>
      </c>
      <c r="G51" s="194">
        <f t="shared" si="3"/>
        <v>433819.91725000006</v>
      </c>
      <c r="H51" s="194">
        <f t="shared" si="3"/>
        <v>428476.61763249995</v>
      </c>
      <c r="I51" s="194">
        <f t="shared" si="3"/>
        <v>449480.92641932506</v>
      </c>
      <c r="J51" s="194">
        <f t="shared" si="3"/>
        <v>469478.18971773935</v>
      </c>
    </row>
    <row r="52" spans="1:10" ht="15" x14ac:dyDescent="0.2">
      <c r="A52" s="141"/>
      <c r="B52" s="138"/>
      <c r="C52" s="86"/>
      <c r="D52" s="86"/>
      <c r="E52" s="86"/>
      <c r="F52" s="86"/>
      <c r="G52" s="86"/>
      <c r="H52" s="86"/>
      <c r="I52" s="86"/>
      <c r="J52" s="86"/>
    </row>
    <row r="53" spans="1:10" ht="15" x14ac:dyDescent="0.2">
      <c r="A53" s="140" t="s">
        <v>474</v>
      </c>
      <c r="B53" s="138"/>
      <c r="C53" s="86"/>
      <c r="D53" s="86"/>
      <c r="E53" s="86"/>
      <c r="F53" s="86"/>
      <c r="G53" s="86"/>
      <c r="H53" s="86"/>
      <c r="I53" s="86"/>
      <c r="J53" s="86"/>
    </row>
    <row r="54" spans="1:10" ht="15" x14ac:dyDescent="0.2">
      <c r="A54" s="141" t="s">
        <v>298</v>
      </c>
      <c r="B54" s="129" t="s">
        <v>134</v>
      </c>
      <c r="C54" s="162">
        <f>SUM('6511 Expenditures'!E150)</f>
        <v>7500</v>
      </c>
      <c r="D54" s="162">
        <f>SUM('6511 Expenditures'!F150)</f>
        <v>54000</v>
      </c>
      <c r="E54" s="162">
        <f>SUM('6511 Expenditures'!G150)</f>
        <v>58320.000000000007</v>
      </c>
      <c r="F54" s="162">
        <f>SUM('6511 Expenditures'!H150)</f>
        <v>62985.600000000013</v>
      </c>
      <c r="G54" s="162">
        <f>SUM('6511 Expenditures'!I150)</f>
        <v>68024.448000000019</v>
      </c>
      <c r="H54" s="162">
        <f>SUM('6511 Expenditures'!J150)</f>
        <v>72105.914880000026</v>
      </c>
      <c r="I54" s="162">
        <f>SUM('6511 Expenditures'!K150)</f>
        <v>76432.269772800035</v>
      </c>
      <c r="J54" s="162">
        <f>SUM('6511 Expenditures'!L150)</f>
        <v>81018.205959168045</v>
      </c>
    </row>
    <row r="55" spans="1:10" ht="15" x14ac:dyDescent="0.2">
      <c r="A55" s="141" t="s">
        <v>299</v>
      </c>
      <c r="B55" s="129" t="s">
        <v>132</v>
      </c>
      <c r="C55" s="162">
        <f>SUM('6511 Expenditures'!E151)</f>
        <v>70000</v>
      </c>
      <c r="D55" s="162">
        <f>SUM('6511 Expenditures'!F151)</f>
        <v>70000</v>
      </c>
      <c r="E55" s="162">
        <f>SUM('6511 Expenditures'!G151)</f>
        <v>72100</v>
      </c>
      <c r="F55" s="162">
        <f>SUM('6511 Expenditures'!H151)</f>
        <v>74263</v>
      </c>
      <c r="G55" s="162">
        <f>SUM('6511 Expenditures'!I151)</f>
        <v>76490.89</v>
      </c>
      <c r="H55" s="162">
        <f>SUM('6511 Expenditures'!J151)</f>
        <v>78785.616699999999</v>
      </c>
      <c r="I55" s="162">
        <f>SUM('6511 Expenditures'!K151)</f>
        <v>81149.185201</v>
      </c>
      <c r="J55" s="162">
        <f>SUM('6511 Expenditures'!L151)</f>
        <v>83583.660757029997</v>
      </c>
    </row>
    <row r="56" spans="1:10" ht="15" x14ac:dyDescent="0.2">
      <c r="A56" s="141" t="s">
        <v>300</v>
      </c>
      <c r="B56" s="129" t="s">
        <v>133</v>
      </c>
      <c r="C56" s="162">
        <f>SUM('6511 Expenditures'!E152)</f>
        <v>52000</v>
      </c>
      <c r="D56" s="162">
        <f>SUM('6511 Expenditures'!F152)</f>
        <v>0</v>
      </c>
      <c r="E56" s="162">
        <f>SUM('6511 Expenditures'!G152)</f>
        <v>0</v>
      </c>
      <c r="F56" s="162">
        <f>SUM('6511 Expenditures'!H152)</f>
        <v>0</v>
      </c>
      <c r="G56" s="162">
        <f>SUM('6511 Expenditures'!I152)</f>
        <v>0</v>
      </c>
      <c r="H56" s="162">
        <f>SUM('6511 Expenditures'!J152)</f>
        <v>0</v>
      </c>
      <c r="I56" s="162">
        <f>SUM('6511 Expenditures'!K152)</f>
        <v>0</v>
      </c>
      <c r="J56" s="162">
        <f>SUM('6511 Expenditures'!L152)</f>
        <v>0</v>
      </c>
    </row>
    <row r="57" spans="1:10" ht="15" x14ac:dyDescent="0.2">
      <c r="A57" s="141"/>
      <c r="B57" s="143" t="s">
        <v>476</v>
      </c>
      <c r="C57" s="194">
        <f t="shared" ref="C57:J57" si="4">SUM(C54:C56)</f>
        <v>129500</v>
      </c>
      <c r="D57" s="194">
        <f t="shared" si="4"/>
        <v>124000</v>
      </c>
      <c r="E57" s="194">
        <f t="shared" si="4"/>
        <v>130420</v>
      </c>
      <c r="F57" s="194">
        <f t="shared" si="4"/>
        <v>137248.6</v>
      </c>
      <c r="G57" s="194">
        <f t="shared" si="4"/>
        <v>144515.33800000002</v>
      </c>
      <c r="H57" s="194">
        <f t="shared" si="4"/>
        <v>150891.53158000001</v>
      </c>
      <c r="I57" s="194">
        <f t="shared" si="4"/>
        <v>157581.45497380005</v>
      </c>
      <c r="J57" s="194">
        <f t="shared" si="4"/>
        <v>164601.86671619804</v>
      </c>
    </row>
    <row r="58" spans="1:10" ht="15" x14ac:dyDescent="0.2">
      <c r="A58" s="141"/>
      <c r="B58" s="138"/>
      <c r="C58" s="86"/>
      <c r="D58" s="86"/>
      <c r="E58" s="86"/>
      <c r="F58" s="86"/>
      <c r="G58" s="86"/>
      <c r="H58" s="86"/>
      <c r="I58" s="86"/>
      <c r="J58" s="86"/>
    </row>
    <row r="59" spans="1:10" ht="15" x14ac:dyDescent="0.2">
      <c r="A59" s="140" t="s">
        <v>475</v>
      </c>
      <c r="B59" s="138"/>
      <c r="C59" s="86"/>
      <c r="D59" s="86"/>
      <c r="E59" s="86"/>
      <c r="F59" s="86"/>
      <c r="G59" s="86"/>
      <c r="H59" s="86"/>
      <c r="I59" s="86"/>
      <c r="J59" s="86"/>
    </row>
    <row r="60" spans="1:10" ht="15" x14ac:dyDescent="0.2">
      <c r="A60" s="141" t="s">
        <v>301</v>
      </c>
      <c r="B60" s="129" t="s">
        <v>137</v>
      </c>
      <c r="C60" s="162">
        <f>SUM('6511 Expenditures'!E155)</f>
        <v>9000</v>
      </c>
      <c r="D60" s="162">
        <f>SUM('6511 Expenditures'!F155)</f>
        <v>9920</v>
      </c>
      <c r="E60" s="162">
        <f>SUM('6511 Expenditures'!G155)</f>
        <v>10433.6</v>
      </c>
      <c r="F60" s="162">
        <f>SUM('6511 Expenditures'!H155)</f>
        <v>10979.888000000001</v>
      </c>
      <c r="G60" s="162">
        <f>SUM('6511 Expenditures'!I155)</f>
        <v>11561.227040000002</v>
      </c>
      <c r="H60" s="162">
        <f>SUM('6511 Expenditures'!J155)</f>
        <v>12071.322526400001</v>
      </c>
      <c r="I60" s="162">
        <f>SUM('6511 Expenditures'!K155)</f>
        <v>12606.516397904004</v>
      </c>
      <c r="J60" s="162">
        <f>SUM('6511 Expenditures'!L155)</f>
        <v>13168.149337295843</v>
      </c>
    </row>
    <row r="61" spans="1:10" ht="15" x14ac:dyDescent="0.2">
      <c r="A61" s="141" t="s">
        <v>302</v>
      </c>
      <c r="B61" s="129" t="s">
        <v>140</v>
      </c>
      <c r="C61" s="162">
        <f>SUM('6511 Expenditures'!E156)</f>
        <v>800</v>
      </c>
      <c r="D61" s="162">
        <f>SUM('6511 Expenditures'!F156)</f>
        <v>1240</v>
      </c>
      <c r="E61" s="162">
        <f>SUM('6511 Expenditures'!G156)</f>
        <v>1304.2</v>
      </c>
      <c r="F61" s="162">
        <f>SUM('6511 Expenditures'!H156)</f>
        <v>1372.4860000000001</v>
      </c>
      <c r="G61" s="162">
        <f>SUM('6511 Expenditures'!I156)</f>
        <v>1445.1533800000002</v>
      </c>
      <c r="H61" s="162">
        <f>SUM('6511 Expenditures'!J156)</f>
        <v>1508.9153158000001</v>
      </c>
      <c r="I61" s="162">
        <f>SUM('6511 Expenditures'!K156)</f>
        <v>1575.8145497380006</v>
      </c>
      <c r="J61" s="162">
        <f>SUM('6511 Expenditures'!L156)</f>
        <v>1646.0186671619804</v>
      </c>
    </row>
    <row r="62" spans="1:10" ht="15" x14ac:dyDescent="0.2">
      <c r="A62" s="141" t="s">
        <v>303</v>
      </c>
      <c r="B62" s="129" t="s">
        <v>156</v>
      </c>
      <c r="C62" s="162">
        <f>SUM('6511 Expenditures'!E157)</f>
        <v>6600</v>
      </c>
      <c r="D62" s="162">
        <f>SUM('6511 Expenditures'!F157)</f>
        <v>0</v>
      </c>
      <c r="E62" s="162">
        <f>SUM('6511 Expenditures'!G157)</f>
        <v>0</v>
      </c>
      <c r="F62" s="162">
        <f>SUM('6511 Expenditures'!H157)</f>
        <v>0</v>
      </c>
      <c r="G62" s="162">
        <f>SUM('6511 Expenditures'!I157)</f>
        <v>0</v>
      </c>
      <c r="H62" s="162">
        <f>SUM('6511 Expenditures'!J157)</f>
        <v>0</v>
      </c>
      <c r="I62" s="162">
        <f>SUM('6511 Expenditures'!K157)</f>
        <v>0</v>
      </c>
      <c r="J62" s="162">
        <f>SUM('6511 Expenditures'!L157)</f>
        <v>0</v>
      </c>
    </row>
    <row r="63" spans="1:10" ht="15" x14ac:dyDescent="0.2">
      <c r="A63" s="141" t="s">
        <v>304</v>
      </c>
      <c r="B63" s="129" t="s">
        <v>157</v>
      </c>
      <c r="C63" s="162">
        <f>SUM('6511 Expenditures'!E158)</f>
        <v>3500</v>
      </c>
      <c r="D63" s="162">
        <f>SUM('6511 Expenditures'!F158)</f>
        <v>6200</v>
      </c>
      <c r="E63" s="162">
        <f>SUM('6511 Expenditures'!G158)</f>
        <v>6521</v>
      </c>
      <c r="F63" s="162">
        <f>SUM('6511 Expenditures'!H158)</f>
        <v>6862.43</v>
      </c>
      <c r="G63" s="162">
        <f>SUM('6511 Expenditures'!I158)</f>
        <v>7225.7669000000014</v>
      </c>
      <c r="H63" s="162">
        <f>SUM('6511 Expenditures'!J158)</f>
        <v>7544.5765790000005</v>
      </c>
      <c r="I63" s="162">
        <f>SUM('6511 Expenditures'!K158)</f>
        <v>7879.0727486900032</v>
      </c>
      <c r="J63" s="162">
        <f>SUM('6511 Expenditures'!L158)</f>
        <v>8230.0933358099028</v>
      </c>
    </row>
    <row r="64" spans="1:10" ht="15" x14ac:dyDescent="0.2">
      <c r="A64" s="141" t="s">
        <v>305</v>
      </c>
      <c r="B64" s="129" t="s">
        <v>159</v>
      </c>
      <c r="C64" s="162">
        <f>SUM('6511 Expenditures'!E159)</f>
        <v>24550</v>
      </c>
      <c r="D64" s="162">
        <f>SUM('6511 Expenditures'!F159)</f>
        <v>22000</v>
      </c>
      <c r="E64" s="162">
        <f>SUM('6511 Expenditures'!G159)</f>
        <v>22000</v>
      </c>
      <c r="F64" s="162">
        <f>SUM('6511 Expenditures'!H159)</f>
        <v>22000</v>
      </c>
      <c r="G64" s="162">
        <f>SUM('6511 Expenditures'!I159)</f>
        <v>22000</v>
      </c>
      <c r="H64" s="162">
        <f>SUM('6511 Expenditures'!J159)</f>
        <v>22000</v>
      </c>
      <c r="I64" s="162">
        <f>SUM('6511 Expenditures'!K159)</f>
        <v>22000</v>
      </c>
      <c r="J64" s="162">
        <f>SUM('6511 Expenditures'!L159)</f>
        <v>22000</v>
      </c>
    </row>
    <row r="65" spans="1:10" ht="15" x14ac:dyDescent="0.2">
      <c r="A65" s="141" t="s">
        <v>306</v>
      </c>
      <c r="B65" s="129" t="s">
        <v>158</v>
      </c>
      <c r="C65" s="162">
        <f>SUM('6511 Expenditures'!E160)</f>
        <v>2400</v>
      </c>
      <c r="D65" s="162">
        <f>SUM('6511 Expenditures'!F160)</f>
        <v>3200</v>
      </c>
      <c r="E65" s="162">
        <f>SUM('6511 Expenditures'!G160)</f>
        <v>3200</v>
      </c>
      <c r="F65" s="162">
        <f>SUM('6511 Expenditures'!H160)</f>
        <v>3200</v>
      </c>
      <c r="G65" s="162">
        <f>SUM('6511 Expenditures'!I160)</f>
        <v>3200</v>
      </c>
      <c r="H65" s="162">
        <f>SUM('6511 Expenditures'!J160)</f>
        <v>3200</v>
      </c>
      <c r="I65" s="162">
        <f>SUM('6511 Expenditures'!K160)</f>
        <v>3200</v>
      </c>
      <c r="J65" s="162">
        <f>SUM('6511 Expenditures'!L160)</f>
        <v>3200</v>
      </c>
    </row>
    <row r="66" spans="1:10" ht="15" x14ac:dyDescent="0.2">
      <c r="A66" s="141" t="s">
        <v>307</v>
      </c>
      <c r="B66" s="129" t="s">
        <v>160</v>
      </c>
      <c r="C66" s="162">
        <f>SUM('6511 Expenditures'!E161)</f>
        <v>9500</v>
      </c>
      <c r="D66" s="162">
        <f>SUM('6511 Expenditures'!F161)</f>
        <v>9800</v>
      </c>
      <c r="E66" s="162">
        <f>SUM('6511 Expenditures'!G161)</f>
        <v>10290</v>
      </c>
      <c r="F66" s="162">
        <f>SUM('6511 Expenditures'!H161)</f>
        <v>10804.5</v>
      </c>
      <c r="G66" s="162">
        <f>SUM('6511 Expenditures'!I161)</f>
        <v>11344.725</v>
      </c>
      <c r="H66" s="162">
        <f>SUM('6511 Expenditures'!J161)</f>
        <v>11911.96125</v>
      </c>
      <c r="I66" s="162">
        <f>SUM('6511 Expenditures'!K161)</f>
        <v>12507.559312500001</v>
      </c>
      <c r="J66" s="162">
        <f>SUM('6511 Expenditures'!L161)</f>
        <v>13132.937278125002</v>
      </c>
    </row>
    <row r="67" spans="1:10" ht="15" x14ac:dyDescent="0.2">
      <c r="A67" s="141" t="s">
        <v>308</v>
      </c>
      <c r="B67" s="129" t="s">
        <v>142</v>
      </c>
      <c r="C67" s="162">
        <f>SUM('6511 Expenditures'!E162)</f>
        <v>200</v>
      </c>
      <c r="D67" s="162">
        <f>SUM('6511 Expenditures'!F162)</f>
        <v>160</v>
      </c>
      <c r="E67" s="162">
        <f>SUM('6511 Expenditures'!G162)</f>
        <v>195.63</v>
      </c>
      <c r="F67" s="162">
        <f>SUM('6511 Expenditures'!H162)</f>
        <v>205.87290000000002</v>
      </c>
      <c r="G67" s="162">
        <f>SUM('6511 Expenditures'!I162)</f>
        <v>216.77300700000004</v>
      </c>
      <c r="H67" s="162">
        <f>SUM('6511 Expenditures'!J162)</f>
        <v>226.33729737000002</v>
      </c>
      <c r="I67" s="162">
        <f>SUM('6511 Expenditures'!K162)</f>
        <v>236.37218246070009</v>
      </c>
      <c r="J67" s="162">
        <f>SUM('6511 Expenditures'!L162)</f>
        <v>246.90280007429706</v>
      </c>
    </row>
    <row r="68" spans="1:10" ht="15" x14ac:dyDescent="0.2">
      <c r="A68" s="141" t="s">
        <v>309</v>
      </c>
      <c r="B68" s="129" t="s">
        <v>161</v>
      </c>
      <c r="C68" s="162">
        <f>SUM('6511 Expenditures'!E163)</f>
        <v>0</v>
      </c>
      <c r="D68" s="162">
        <f>SUM('6511 Expenditures'!F163)</f>
        <v>0</v>
      </c>
      <c r="E68" s="162">
        <f>SUM('6511 Expenditures'!G163)</f>
        <v>0</v>
      </c>
      <c r="F68" s="162">
        <f>SUM('6511 Expenditures'!H163)</f>
        <v>0</v>
      </c>
      <c r="G68" s="162">
        <f>SUM('6511 Expenditures'!I163)</f>
        <v>0</v>
      </c>
      <c r="H68" s="162">
        <f>SUM('6511 Expenditures'!J163)</f>
        <v>0</v>
      </c>
      <c r="I68" s="162">
        <f>SUM('6511 Expenditures'!K163)</f>
        <v>0</v>
      </c>
      <c r="J68" s="162">
        <f>SUM('6511 Expenditures'!L163)</f>
        <v>0</v>
      </c>
    </row>
    <row r="69" spans="1:10" ht="30" x14ac:dyDescent="0.2">
      <c r="A69" s="141" t="s">
        <v>310</v>
      </c>
      <c r="B69" s="157" t="s">
        <v>311</v>
      </c>
      <c r="C69" s="162">
        <f>SUM('6511 Expenditures'!E164)</f>
        <v>3700</v>
      </c>
      <c r="D69" s="162">
        <f>SUM('6511 Expenditures'!F164)</f>
        <v>3700</v>
      </c>
      <c r="E69" s="162">
        <f>SUM('6511 Expenditures'!G164)</f>
        <v>3700</v>
      </c>
      <c r="F69" s="162">
        <f>SUM('6511 Expenditures'!H164)</f>
        <v>3700</v>
      </c>
      <c r="G69" s="162">
        <f>SUM('6511 Expenditures'!I164)</f>
        <v>3700</v>
      </c>
      <c r="H69" s="162">
        <f>SUM('6511 Expenditures'!J164)</f>
        <v>3700</v>
      </c>
      <c r="I69" s="162">
        <f>SUM('6511 Expenditures'!K164)</f>
        <v>3700</v>
      </c>
      <c r="J69" s="162">
        <f>SUM('6511 Expenditures'!L164)</f>
        <v>3700</v>
      </c>
    </row>
    <row r="70" spans="1:10" ht="15" x14ac:dyDescent="0.2">
      <c r="A70" s="141" t="s">
        <v>312</v>
      </c>
      <c r="B70" s="129" t="s">
        <v>482</v>
      </c>
      <c r="C70" s="162">
        <f>SUM('6511 Expenditures'!E165)</f>
        <v>180</v>
      </c>
      <c r="D70" s="162">
        <f>SUM('6511 Expenditures'!F165)</f>
        <v>190</v>
      </c>
      <c r="E70" s="162">
        <f>SUM('6511 Expenditures'!G165)</f>
        <v>195.70000000000002</v>
      </c>
      <c r="F70" s="162">
        <f>SUM('6511 Expenditures'!H165)</f>
        <v>201.57100000000003</v>
      </c>
      <c r="G70" s="162">
        <f>SUM('6511 Expenditures'!I165)</f>
        <v>207.61813000000004</v>
      </c>
      <c r="H70" s="162">
        <f>SUM('6511 Expenditures'!J165)</f>
        <v>213.84667390000004</v>
      </c>
      <c r="I70" s="162">
        <f>SUM('6511 Expenditures'!K165)</f>
        <v>220.26207411700005</v>
      </c>
      <c r="J70" s="162">
        <f>SUM('6511 Expenditures'!L165)</f>
        <v>226.86993634051007</v>
      </c>
    </row>
    <row r="71" spans="1:10" ht="15" x14ac:dyDescent="0.2">
      <c r="A71" s="139"/>
      <c r="B71" s="143" t="s">
        <v>476</v>
      </c>
      <c r="C71" s="194">
        <f t="shared" ref="C71:J71" si="5">SUM(C60:C70)</f>
        <v>60430</v>
      </c>
      <c r="D71" s="194">
        <f t="shared" si="5"/>
        <v>56410</v>
      </c>
      <c r="E71" s="194">
        <f t="shared" si="5"/>
        <v>57840.13</v>
      </c>
      <c r="F71" s="194">
        <f t="shared" si="5"/>
        <v>59326.747900000009</v>
      </c>
      <c r="G71" s="194">
        <f t="shared" si="5"/>
        <v>60901.263457000008</v>
      </c>
      <c r="H71" s="194">
        <f t="shared" si="5"/>
        <v>62376.959642470007</v>
      </c>
      <c r="I71" s="194">
        <f t="shared" si="5"/>
        <v>63925.597265409713</v>
      </c>
      <c r="J71" s="194">
        <f t="shared" si="5"/>
        <v>65550.971354807523</v>
      </c>
    </row>
    <row r="72" spans="1:10" x14ac:dyDescent="0.2">
      <c r="A72" s="139"/>
      <c r="B72" s="138"/>
      <c r="C72" s="86"/>
      <c r="D72" s="86"/>
      <c r="E72" s="86"/>
      <c r="F72" s="86"/>
      <c r="G72" s="86"/>
      <c r="H72" s="86"/>
      <c r="I72" s="86"/>
      <c r="J72" s="86"/>
    </row>
    <row r="73" spans="1:10" ht="15" x14ac:dyDescent="0.2">
      <c r="A73" s="139"/>
      <c r="B73" s="166" t="s">
        <v>483</v>
      </c>
      <c r="C73" s="163">
        <f t="shared" ref="C73:J73" si="6">SUM(C71,C57,C51,C36,C27,C11)</f>
        <v>1698905</v>
      </c>
      <c r="D73" s="163">
        <f t="shared" si="6"/>
        <v>1771564</v>
      </c>
      <c r="E73" s="163">
        <f t="shared" si="6"/>
        <v>2030027.2350000001</v>
      </c>
      <c r="F73" s="163">
        <f t="shared" si="6"/>
        <v>2133963.9715499999</v>
      </c>
      <c r="G73" s="163">
        <f t="shared" si="6"/>
        <v>2329763.5134620001</v>
      </c>
      <c r="H73" s="163">
        <f t="shared" si="6"/>
        <v>2259239.5172876203</v>
      </c>
      <c r="I73" s="163">
        <f t="shared" si="6"/>
        <v>2371525.1201396664</v>
      </c>
      <c r="J73" s="163">
        <f t="shared" si="6"/>
        <v>2474882.8224537149</v>
      </c>
    </row>
    <row r="74" spans="1:10" x14ac:dyDescent="0.2">
      <c r="A74" s="139"/>
      <c r="B74" s="196" t="s">
        <v>525</v>
      </c>
      <c r="C74" s="86"/>
      <c r="D74" s="86"/>
      <c r="E74" s="86"/>
      <c r="F74" s="86"/>
      <c r="G74" s="86"/>
      <c r="H74" s="86"/>
      <c r="I74" s="86"/>
      <c r="J74" s="86"/>
    </row>
    <row r="75" spans="1:10" x14ac:dyDescent="0.2">
      <c r="A75" s="139"/>
      <c r="B75" s="138"/>
      <c r="C75" s="86"/>
      <c r="D75" s="86"/>
      <c r="E75" s="86"/>
      <c r="F75" s="86"/>
      <c r="G75" s="86"/>
      <c r="H75" s="86"/>
      <c r="I75" s="86"/>
      <c r="J75" s="86"/>
    </row>
    <row r="76" spans="1:10" ht="15.75" x14ac:dyDescent="0.2">
      <c r="A76" s="137" t="s">
        <v>485</v>
      </c>
      <c r="B76" s="138"/>
      <c r="C76" s="86"/>
      <c r="D76" s="86"/>
      <c r="E76" s="86"/>
      <c r="F76" s="86"/>
      <c r="G76" s="86"/>
      <c r="H76" s="86"/>
      <c r="I76" s="86"/>
      <c r="J76" s="86"/>
    </row>
    <row r="77" spans="1:10" ht="15.75" x14ac:dyDescent="0.2">
      <c r="A77" s="137"/>
      <c r="B77" s="138"/>
      <c r="C77" s="86"/>
      <c r="D77" s="86"/>
      <c r="E77" s="86"/>
      <c r="F77" s="86"/>
      <c r="G77" s="86"/>
      <c r="H77" s="86"/>
      <c r="I77" s="86"/>
      <c r="J77" s="86"/>
    </row>
    <row r="78" spans="1:10" ht="15" x14ac:dyDescent="0.2">
      <c r="A78" s="146" t="s">
        <v>517</v>
      </c>
      <c r="B78" s="129"/>
      <c r="C78" s="86"/>
      <c r="D78" s="86"/>
      <c r="E78" s="86"/>
      <c r="F78" s="86"/>
      <c r="G78" s="86"/>
      <c r="H78" s="86"/>
      <c r="I78" s="86"/>
      <c r="J78" s="86"/>
    </row>
    <row r="79" spans="1:10" ht="15" x14ac:dyDescent="0.2">
      <c r="A79" s="148" t="s">
        <v>209</v>
      </c>
      <c r="B79" s="129" t="s">
        <v>40</v>
      </c>
      <c r="C79" s="162">
        <f>SUM('6511 Expenditures'!E39)</f>
        <v>5000</v>
      </c>
      <c r="D79" s="162">
        <f>SUM('6511 Expenditures'!F39)</f>
        <v>5000</v>
      </c>
      <c r="E79" s="162">
        <f>SUM('6511 Expenditures'!G39)</f>
        <v>5250</v>
      </c>
      <c r="F79" s="162">
        <f>SUM('6511 Expenditures'!H39)</f>
        <v>5512.5</v>
      </c>
      <c r="G79" s="162">
        <f>SUM('6511 Expenditures'!I39)</f>
        <v>5788.125</v>
      </c>
      <c r="H79" s="162">
        <f>SUM('6511 Expenditures'!J39)</f>
        <v>6077.53125</v>
      </c>
      <c r="I79" s="162">
        <f>SUM('6511 Expenditures'!K39)</f>
        <v>6381.4078125000005</v>
      </c>
      <c r="J79" s="162">
        <f>SUM('6511 Expenditures'!L39)</f>
        <v>6700.4782031250006</v>
      </c>
    </row>
    <row r="80" spans="1:10" ht="15" x14ac:dyDescent="0.2">
      <c r="A80" s="148" t="s">
        <v>208</v>
      </c>
      <c r="B80" s="157" t="s">
        <v>163</v>
      </c>
      <c r="C80" s="162">
        <f>SUM('6511 Expenditures'!E40)</f>
        <v>3000</v>
      </c>
      <c r="D80" s="162">
        <f>SUM('6511 Expenditures'!F40)</f>
        <v>3000</v>
      </c>
      <c r="E80" s="162">
        <f>SUM('6511 Expenditures'!G40)</f>
        <v>3000</v>
      </c>
      <c r="F80" s="162">
        <f>SUM('6511 Expenditures'!H40)</f>
        <v>3150</v>
      </c>
      <c r="G80" s="162">
        <f>SUM('6511 Expenditures'!I40)</f>
        <v>3307.5</v>
      </c>
      <c r="H80" s="162">
        <f>SUM('6511 Expenditures'!J40)</f>
        <v>3472.875</v>
      </c>
      <c r="I80" s="162">
        <f>SUM('6511 Expenditures'!K40)</f>
        <v>3646.5187500000002</v>
      </c>
      <c r="J80" s="162">
        <f>SUM('6511 Expenditures'!L40)</f>
        <v>3828.8446875000004</v>
      </c>
    </row>
    <row r="81" spans="1:10" ht="15" x14ac:dyDescent="0.2">
      <c r="A81" s="148" t="s">
        <v>210</v>
      </c>
      <c r="B81" s="157" t="s">
        <v>164</v>
      </c>
      <c r="C81" s="162">
        <f>SUM('6511 Expenditures'!E43)</f>
        <v>2000</v>
      </c>
      <c r="D81" s="162">
        <f>SUM('6511 Expenditures'!F43)</f>
        <v>2500</v>
      </c>
      <c r="E81" s="162">
        <f>SUM('6511 Expenditures'!G43)</f>
        <v>3500</v>
      </c>
      <c r="F81" s="162">
        <f>SUM('6511 Expenditures'!H43)</f>
        <v>3675</v>
      </c>
      <c r="G81" s="162">
        <f>SUM('6511 Expenditures'!I43)</f>
        <v>3858.75</v>
      </c>
      <c r="H81" s="162">
        <f>SUM('6511 Expenditures'!J43)</f>
        <v>4051.6875</v>
      </c>
      <c r="I81" s="162">
        <f>SUM('6511 Expenditures'!K43)</f>
        <v>4254.2718750000004</v>
      </c>
      <c r="J81" s="162">
        <f>SUM('6511 Expenditures'!L43)</f>
        <v>4466.985468750001</v>
      </c>
    </row>
    <row r="82" spans="1:10" ht="15" x14ac:dyDescent="0.25">
      <c r="A82" s="148"/>
      <c r="B82" s="171" t="s">
        <v>516</v>
      </c>
      <c r="C82" s="195">
        <f t="shared" ref="C82:J82" si="7">SUM(C79:C81)</f>
        <v>10000</v>
      </c>
      <c r="D82" s="195">
        <f t="shared" si="7"/>
        <v>10500</v>
      </c>
      <c r="E82" s="195">
        <f t="shared" si="7"/>
        <v>11750</v>
      </c>
      <c r="F82" s="195">
        <f t="shared" si="7"/>
        <v>12337.5</v>
      </c>
      <c r="G82" s="195">
        <f t="shared" si="7"/>
        <v>12954.375</v>
      </c>
      <c r="H82" s="195">
        <f t="shared" si="7"/>
        <v>13602.09375</v>
      </c>
      <c r="I82" s="195">
        <f t="shared" si="7"/>
        <v>14282.198437500001</v>
      </c>
      <c r="J82" s="195">
        <f t="shared" si="7"/>
        <v>14996.308359375002</v>
      </c>
    </row>
    <row r="83" spans="1:10" ht="15" x14ac:dyDescent="0.2">
      <c r="A83" s="148"/>
      <c r="B83" s="157"/>
      <c r="C83" s="86"/>
      <c r="D83" s="86"/>
      <c r="E83" s="86"/>
      <c r="F83" s="86"/>
      <c r="G83" s="86"/>
      <c r="H83" s="86"/>
      <c r="I83" s="86"/>
      <c r="J83" s="86"/>
    </row>
    <row r="84" spans="1:10" ht="15" x14ac:dyDescent="0.2">
      <c r="A84" s="135" t="s">
        <v>518</v>
      </c>
      <c r="B84" s="157"/>
      <c r="C84" s="86"/>
      <c r="D84" s="86"/>
      <c r="E84" s="86"/>
      <c r="F84" s="86"/>
      <c r="G84" s="86"/>
      <c r="H84" s="86"/>
      <c r="I84" s="86"/>
      <c r="J84" s="86"/>
    </row>
    <row r="85" spans="1:10" ht="15" x14ac:dyDescent="0.2">
      <c r="A85" s="149" t="s">
        <v>211</v>
      </c>
      <c r="B85" s="129" t="s">
        <v>165</v>
      </c>
      <c r="C85" s="162">
        <f>SUM('6511 Expenditures'!E46)</f>
        <v>8000</v>
      </c>
      <c r="D85" s="162">
        <f>SUM('6511 Expenditures'!F46)</f>
        <v>9000</v>
      </c>
      <c r="E85" s="162">
        <f>SUM('6511 Expenditures'!G46)</f>
        <v>9225</v>
      </c>
      <c r="F85" s="162">
        <f>SUM('6511 Expenditures'!H46)</f>
        <v>9455.625</v>
      </c>
      <c r="G85" s="162">
        <f>SUM('6511 Expenditures'!I46)</f>
        <v>9692.015625</v>
      </c>
      <c r="H85" s="162">
        <f>SUM('6511 Expenditures'!J46)</f>
        <v>9934.3160156249996</v>
      </c>
      <c r="I85" s="162">
        <f>SUM('6511 Expenditures'!K46)</f>
        <v>10182.673916015623</v>
      </c>
      <c r="J85" s="162">
        <f>SUM('6511 Expenditures'!L46)</f>
        <v>10437.240763916012</v>
      </c>
    </row>
    <row r="86" spans="1:10" ht="15" x14ac:dyDescent="0.2">
      <c r="A86" s="149" t="s">
        <v>212</v>
      </c>
      <c r="B86" s="129" t="s">
        <v>174</v>
      </c>
      <c r="C86" s="162">
        <f>SUM('6511 Expenditures'!E47)</f>
        <v>8800</v>
      </c>
      <c r="D86" s="162">
        <f>SUM('6511 Expenditures'!F47)</f>
        <v>9100</v>
      </c>
      <c r="E86" s="162">
        <f>SUM('6511 Expenditures'!G47)</f>
        <v>9327.5</v>
      </c>
      <c r="F86" s="162">
        <f>SUM('6511 Expenditures'!H47)</f>
        <v>9560.6875</v>
      </c>
      <c r="G86" s="162">
        <f>SUM('6511 Expenditures'!I47)</f>
        <v>9799.7046874999996</v>
      </c>
      <c r="H86" s="162">
        <f>SUM('6511 Expenditures'!J47)</f>
        <v>10044.697304687499</v>
      </c>
      <c r="I86" s="162">
        <f>SUM('6511 Expenditures'!K47)</f>
        <v>10295.814737304685</v>
      </c>
      <c r="J86" s="162">
        <f>SUM('6511 Expenditures'!L47)</f>
        <v>10553.210105737302</v>
      </c>
    </row>
    <row r="87" spans="1:10" ht="15" x14ac:dyDescent="0.2">
      <c r="A87" s="149" t="s">
        <v>213</v>
      </c>
      <c r="B87" s="129" t="s">
        <v>45</v>
      </c>
      <c r="C87" s="162">
        <f>SUM('6511 Expenditures'!E48)</f>
        <v>45000</v>
      </c>
      <c r="D87" s="162">
        <f>SUM('6511 Expenditures'!F48)</f>
        <v>30000</v>
      </c>
      <c r="E87" s="162">
        <f>SUM('6511 Expenditures'!G48)</f>
        <v>30749.999999999996</v>
      </c>
      <c r="F87" s="162">
        <f>SUM('6511 Expenditures'!H48)</f>
        <v>31518.749999999993</v>
      </c>
      <c r="G87" s="162">
        <f>SUM('6511 Expenditures'!I48)</f>
        <v>32306.718749999989</v>
      </c>
      <c r="H87" s="162">
        <f>SUM('6511 Expenditures'!J48)</f>
        <v>33114.386718749985</v>
      </c>
      <c r="I87" s="162">
        <f>SUM('6511 Expenditures'!K48)</f>
        <v>33942.246386718733</v>
      </c>
      <c r="J87" s="162">
        <f>SUM('6511 Expenditures'!L48)</f>
        <v>34790.802546386694</v>
      </c>
    </row>
    <row r="88" spans="1:10" ht="15" x14ac:dyDescent="0.2">
      <c r="A88" s="149" t="s">
        <v>214</v>
      </c>
      <c r="B88" s="129" t="s">
        <v>173</v>
      </c>
      <c r="C88" s="162">
        <f>SUM('6511 Expenditures'!E49)</f>
        <v>8000</v>
      </c>
      <c r="D88" s="162">
        <f>SUM('6511 Expenditures'!F49)</f>
        <v>12000</v>
      </c>
      <c r="E88" s="162">
        <f>SUM('6511 Expenditures'!G49)</f>
        <v>12299.999999999998</v>
      </c>
      <c r="F88" s="162">
        <f>SUM('6511 Expenditures'!H49)</f>
        <v>12607.499999999996</v>
      </c>
      <c r="G88" s="162">
        <f>SUM('6511 Expenditures'!I49)</f>
        <v>12922.687499999995</v>
      </c>
      <c r="H88" s="162">
        <f>SUM('6511 Expenditures'!J49)</f>
        <v>13245.754687499993</v>
      </c>
      <c r="I88" s="162">
        <f>SUM('6511 Expenditures'!K49)</f>
        <v>13576.898554687492</v>
      </c>
      <c r="J88" s="162">
        <f>SUM('6511 Expenditures'!L49)</f>
        <v>13916.321018554678</v>
      </c>
    </row>
    <row r="89" spans="1:10" ht="15" x14ac:dyDescent="0.2">
      <c r="A89" s="149" t="s">
        <v>215</v>
      </c>
      <c r="B89" s="129" t="s">
        <v>166</v>
      </c>
      <c r="C89" s="162">
        <f>SUM('6511 Expenditures'!E50)</f>
        <v>20000</v>
      </c>
      <c r="D89" s="162">
        <f>SUM('6511 Expenditures'!F50)</f>
        <v>30000</v>
      </c>
      <c r="E89" s="162">
        <f>SUM('6511 Expenditures'!G50)</f>
        <v>30749.999999999996</v>
      </c>
      <c r="F89" s="162">
        <f>SUM('6511 Expenditures'!H50)</f>
        <v>31518.749999999993</v>
      </c>
      <c r="G89" s="162">
        <f>SUM('6511 Expenditures'!I50)</f>
        <v>32306.718749999989</v>
      </c>
      <c r="H89" s="162">
        <f>SUM('6511 Expenditures'!J50)</f>
        <v>33114.386718749985</v>
      </c>
      <c r="I89" s="162">
        <f>SUM('6511 Expenditures'!K50)</f>
        <v>33942.246386718733</v>
      </c>
      <c r="J89" s="162">
        <f>SUM('6511 Expenditures'!L50)</f>
        <v>34790.802546386694</v>
      </c>
    </row>
    <row r="90" spans="1:10" ht="15" x14ac:dyDescent="0.2">
      <c r="A90" s="149" t="s">
        <v>357</v>
      </c>
      <c r="B90" s="129" t="s">
        <v>42</v>
      </c>
      <c r="C90" s="162">
        <f>SUM('6511 Expenditures'!E51)</f>
        <v>0</v>
      </c>
      <c r="D90" s="162">
        <f>SUM('6511 Expenditures'!F51)</f>
        <v>0</v>
      </c>
      <c r="E90" s="162">
        <f>SUM('6511 Expenditures'!G51)</f>
        <v>0</v>
      </c>
      <c r="F90" s="162">
        <f>SUM('6511 Expenditures'!H51)</f>
        <v>0</v>
      </c>
      <c r="G90" s="162">
        <f>SUM('6511 Expenditures'!I51)</f>
        <v>0</v>
      </c>
      <c r="H90" s="162">
        <f>SUM('6511 Expenditures'!J51)</f>
        <v>0</v>
      </c>
      <c r="I90" s="162">
        <f>SUM('6511 Expenditures'!K51)</f>
        <v>0</v>
      </c>
      <c r="J90" s="162">
        <f>SUM('6511 Expenditures'!L51)</f>
        <v>0</v>
      </c>
    </row>
    <row r="91" spans="1:10" ht="15" x14ac:dyDescent="0.25">
      <c r="A91" s="149"/>
      <c r="B91" s="171" t="s">
        <v>516</v>
      </c>
      <c r="C91" s="195">
        <f t="shared" ref="C91:J91" si="8">SUM(C85:C90)</f>
        <v>89800</v>
      </c>
      <c r="D91" s="195">
        <f t="shared" si="8"/>
        <v>90100</v>
      </c>
      <c r="E91" s="195">
        <f t="shared" si="8"/>
        <v>92352.5</v>
      </c>
      <c r="F91" s="195">
        <f t="shared" si="8"/>
        <v>94661.312499999971</v>
      </c>
      <c r="G91" s="195">
        <f t="shared" si="8"/>
        <v>97027.84531249998</v>
      </c>
      <c r="H91" s="195">
        <f t="shared" si="8"/>
        <v>99453.541445312469</v>
      </c>
      <c r="I91" s="195">
        <f t="shared" si="8"/>
        <v>101939.87998144527</v>
      </c>
      <c r="J91" s="195">
        <f t="shared" si="8"/>
        <v>104488.37698098138</v>
      </c>
    </row>
    <row r="92" spans="1:10" ht="15" x14ac:dyDescent="0.2">
      <c r="A92" s="149"/>
      <c r="B92" s="129"/>
      <c r="C92" s="86"/>
      <c r="D92" s="86"/>
      <c r="E92" s="86"/>
      <c r="F92" s="86"/>
      <c r="G92" s="86"/>
      <c r="H92" s="86"/>
      <c r="I92" s="86"/>
      <c r="J92" s="86"/>
    </row>
    <row r="93" spans="1:10" ht="15" x14ac:dyDescent="0.2">
      <c r="A93" s="150" t="s">
        <v>486</v>
      </c>
      <c r="B93" s="151"/>
      <c r="C93" s="86"/>
      <c r="D93" s="86"/>
      <c r="E93" s="86"/>
      <c r="F93" s="86"/>
      <c r="G93" s="86"/>
      <c r="H93" s="86"/>
      <c r="I93" s="86"/>
      <c r="J93" s="86"/>
    </row>
    <row r="94" spans="1:10" ht="15" x14ac:dyDescent="0.2">
      <c r="A94" s="149" t="s">
        <v>216</v>
      </c>
      <c r="B94" s="129" t="s">
        <v>38</v>
      </c>
      <c r="C94" s="162">
        <f>SUM('6511 Expenditures'!E54)</f>
        <v>3000</v>
      </c>
      <c r="D94" s="162">
        <f>SUM('6511 Expenditures'!F54)</f>
        <v>3000</v>
      </c>
      <c r="E94" s="162">
        <f>SUM('6511 Expenditures'!G54)</f>
        <v>3074.9999999999995</v>
      </c>
      <c r="F94" s="162">
        <f>SUM('6511 Expenditures'!H54)</f>
        <v>3151.8749999999991</v>
      </c>
      <c r="G94" s="162">
        <f>SUM('6511 Expenditures'!I54)</f>
        <v>3230.6718749999986</v>
      </c>
      <c r="H94" s="162">
        <f>SUM('6511 Expenditures'!J54)</f>
        <v>3311.4386718749984</v>
      </c>
      <c r="I94" s="162">
        <f>SUM('6511 Expenditures'!K54)</f>
        <v>3394.224638671873</v>
      </c>
      <c r="J94" s="162">
        <f>SUM('6511 Expenditures'!L54)</f>
        <v>3479.0802546386694</v>
      </c>
    </row>
    <row r="95" spans="1:10" ht="15" x14ac:dyDescent="0.2">
      <c r="A95" s="149" t="s">
        <v>217</v>
      </c>
      <c r="B95" s="129" t="s">
        <v>39</v>
      </c>
      <c r="C95" s="162">
        <f>SUM('6511 Expenditures'!E55)</f>
        <v>3000</v>
      </c>
      <c r="D95" s="162">
        <f>SUM('6511 Expenditures'!F55)</f>
        <v>4000</v>
      </c>
      <c r="E95" s="162">
        <f>SUM('6511 Expenditures'!G55)</f>
        <v>4100</v>
      </c>
      <c r="F95" s="162">
        <f>SUM('6511 Expenditures'!H55)</f>
        <v>4202.5</v>
      </c>
      <c r="G95" s="162">
        <f>SUM('6511 Expenditures'!I55)</f>
        <v>4307.5625</v>
      </c>
      <c r="H95" s="162">
        <f>SUM('6511 Expenditures'!J55)</f>
        <v>4415.2515624999996</v>
      </c>
      <c r="I95" s="162">
        <f>SUM('6511 Expenditures'!K55)</f>
        <v>4525.6328515624991</v>
      </c>
      <c r="J95" s="162">
        <f>SUM('6511 Expenditures'!L55)</f>
        <v>4638.7736728515611</v>
      </c>
    </row>
    <row r="96" spans="1:10" ht="15" x14ac:dyDescent="0.2">
      <c r="A96" s="149" t="s">
        <v>218</v>
      </c>
      <c r="B96" s="129" t="s">
        <v>162</v>
      </c>
      <c r="C96" s="162">
        <f>SUM('6511 Expenditures'!E56)</f>
        <v>5300</v>
      </c>
      <c r="D96" s="162">
        <f>SUM('6511 Expenditures'!F56)</f>
        <v>5300</v>
      </c>
      <c r="E96" s="162">
        <f>SUM('6511 Expenditures'!G56)</f>
        <v>5432.4999999999991</v>
      </c>
      <c r="F96" s="162">
        <f>SUM('6511 Expenditures'!H56)</f>
        <v>5568.3124999999982</v>
      </c>
      <c r="G96" s="162">
        <f>SUM('6511 Expenditures'!I56)</f>
        <v>5707.520312499998</v>
      </c>
      <c r="H96" s="162">
        <f>SUM('6511 Expenditures'!J56)</f>
        <v>5850.2083203124976</v>
      </c>
      <c r="I96" s="162">
        <f>SUM('6511 Expenditures'!K56)</f>
        <v>5996.4635283203097</v>
      </c>
      <c r="J96" s="162">
        <f>SUM('6511 Expenditures'!L56)</f>
        <v>6146.3751165283165</v>
      </c>
    </row>
    <row r="97" spans="1:10" ht="15" x14ac:dyDescent="0.2">
      <c r="A97" s="149" t="s">
        <v>219</v>
      </c>
      <c r="B97" s="129" t="s">
        <v>167</v>
      </c>
      <c r="C97" s="162">
        <f>SUM('6511 Expenditures'!E57)</f>
        <v>1700</v>
      </c>
      <c r="D97" s="162">
        <f>SUM('6511 Expenditures'!F57)</f>
        <v>1700</v>
      </c>
      <c r="E97" s="162">
        <f>SUM('6511 Expenditures'!G57)</f>
        <v>1742.4999999999998</v>
      </c>
      <c r="F97" s="162">
        <f>SUM('6511 Expenditures'!H57)</f>
        <v>1786.0624999999995</v>
      </c>
      <c r="G97" s="162">
        <f>SUM('6511 Expenditures'!I57)</f>
        <v>1830.7140624999993</v>
      </c>
      <c r="H97" s="162">
        <f>SUM('6511 Expenditures'!J57)</f>
        <v>1876.4819140624991</v>
      </c>
      <c r="I97" s="162">
        <f>SUM('6511 Expenditures'!K57)</f>
        <v>1923.3939619140615</v>
      </c>
      <c r="J97" s="162">
        <f>SUM('6511 Expenditures'!L57)</f>
        <v>1971.4788109619128</v>
      </c>
    </row>
    <row r="98" spans="1:10" ht="15" x14ac:dyDescent="0.25">
      <c r="A98" s="149"/>
      <c r="B98" s="171" t="s">
        <v>516</v>
      </c>
      <c r="C98" s="195">
        <f t="shared" ref="C98:J98" si="9">SUM(C94:C97)</f>
        <v>13000</v>
      </c>
      <c r="D98" s="195">
        <f t="shared" si="9"/>
        <v>14000</v>
      </c>
      <c r="E98" s="195">
        <f t="shared" si="9"/>
        <v>14350</v>
      </c>
      <c r="F98" s="195">
        <f t="shared" si="9"/>
        <v>14708.749999999996</v>
      </c>
      <c r="G98" s="195">
        <f t="shared" si="9"/>
        <v>15076.468749999996</v>
      </c>
      <c r="H98" s="195">
        <f t="shared" si="9"/>
        <v>15453.380468749994</v>
      </c>
      <c r="I98" s="195">
        <f t="shared" si="9"/>
        <v>15839.714980468743</v>
      </c>
      <c r="J98" s="195">
        <f t="shared" si="9"/>
        <v>16235.707854980459</v>
      </c>
    </row>
    <row r="99" spans="1:10" ht="15" x14ac:dyDescent="0.2">
      <c r="A99" s="149"/>
      <c r="B99" s="129"/>
      <c r="C99" s="86"/>
      <c r="D99" s="86"/>
      <c r="E99" s="86"/>
      <c r="F99" s="86"/>
      <c r="G99" s="86"/>
      <c r="H99" s="86"/>
      <c r="I99" s="86"/>
      <c r="J99" s="86"/>
    </row>
    <row r="100" spans="1:10" ht="15" x14ac:dyDescent="0.2">
      <c r="A100" s="146" t="s">
        <v>487</v>
      </c>
      <c r="B100" s="129"/>
      <c r="C100" s="86"/>
      <c r="D100" s="86"/>
      <c r="E100" s="86"/>
      <c r="F100" s="86"/>
      <c r="G100" s="86"/>
      <c r="H100" s="86"/>
      <c r="I100" s="86"/>
      <c r="J100" s="86"/>
    </row>
    <row r="101" spans="1:10" ht="30" x14ac:dyDescent="0.2">
      <c r="A101" s="148" t="s">
        <v>220</v>
      </c>
      <c r="B101" s="157" t="s">
        <v>168</v>
      </c>
      <c r="C101" s="162">
        <f>SUM('6511 Expenditures'!E60)</f>
        <v>500</v>
      </c>
      <c r="D101" s="162">
        <f>SUM('6511 Expenditures'!F60)</f>
        <v>500</v>
      </c>
      <c r="E101" s="162">
        <f>SUM('6511 Expenditures'!G60)</f>
        <v>3000</v>
      </c>
      <c r="F101" s="162">
        <f>SUM('6511 Expenditures'!H60)</f>
        <v>3150</v>
      </c>
      <c r="G101" s="162">
        <f>SUM('6511 Expenditures'!I60)</f>
        <v>3307.5</v>
      </c>
      <c r="H101" s="162">
        <f>SUM('6511 Expenditures'!J60)</f>
        <v>3472.875</v>
      </c>
      <c r="I101" s="162">
        <f>SUM('6511 Expenditures'!K60)</f>
        <v>3646.5187500000002</v>
      </c>
      <c r="J101" s="162">
        <f>SUM('6511 Expenditures'!L60)</f>
        <v>3828.8446875000004</v>
      </c>
    </row>
    <row r="102" spans="1:10" ht="15" x14ac:dyDescent="0.2">
      <c r="A102" s="148" t="s">
        <v>221</v>
      </c>
      <c r="B102" s="129" t="s">
        <v>169</v>
      </c>
      <c r="C102" s="162">
        <f>SUM('6511 Expenditures'!E61)</f>
        <v>100</v>
      </c>
      <c r="D102" s="162">
        <f>SUM('6511 Expenditures'!F61)</f>
        <v>100</v>
      </c>
      <c r="E102" s="162">
        <f>SUM('6511 Expenditures'!G61)</f>
        <v>500</v>
      </c>
      <c r="F102" s="162">
        <f>SUM('6511 Expenditures'!H61)</f>
        <v>525</v>
      </c>
      <c r="G102" s="162">
        <f>SUM('6511 Expenditures'!I61)</f>
        <v>551.25</v>
      </c>
      <c r="H102" s="162">
        <f>SUM('6511 Expenditures'!J61)</f>
        <v>578.8125</v>
      </c>
      <c r="I102" s="162">
        <f>SUM('6511 Expenditures'!K61)</f>
        <v>607.75312500000007</v>
      </c>
      <c r="J102" s="162">
        <f>SUM('6511 Expenditures'!L61)</f>
        <v>638.14078125000015</v>
      </c>
    </row>
    <row r="103" spans="1:10" ht="15" x14ac:dyDescent="0.2">
      <c r="A103" s="148" t="s">
        <v>222</v>
      </c>
      <c r="B103" s="129" t="s">
        <v>171</v>
      </c>
      <c r="C103" s="162">
        <f>SUM('6511 Expenditures'!E62)</f>
        <v>400</v>
      </c>
      <c r="D103" s="162">
        <f>SUM('6511 Expenditures'!F62)</f>
        <v>400</v>
      </c>
      <c r="E103" s="162">
        <f>SUM('6511 Expenditures'!G62)</f>
        <v>1000</v>
      </c>
      <c r="F103" s="162">
        <f>SUM('6511 Expenditures'!H62)</f>
        <v>1050</v>
      </c>
      <c r="G103" s="162">
        <f>SUM('6511 Expenditures'!I62)</f>
        <v>1102.5</v>
      </c>
      <c r="H103" s="162">
        <f>SUM('6511 Expenditures'!J62)</f>
        <v>1157.625</v>
      </c>
      <c r="I103" s="162">
        <f>SUM('6511 Expenditures'!K62)</f>
        <v>1215.5062500000001</v>
      </c>
      <c r="J103" s="162">
        <f>SUM('6511 Expenditures'!L62)</f>
        <v>1276.2815625000003</v>
      </c>
    </row>
    <row r="104" spans="1:10" ht="15" x14ac:dyDescent="0.25">
      <c r="A104" s="148"/>
      <c r="B104" s="171" t="s">
        <v>516</v>
      </c>
      <c r="C104" s="195">
        <f t="shared" ref="C104:J104" si="10">SUM(C101:C103)</f>
        <v>1000</v>
      </c>
      <c r="D104" s="195">
        <f t="shared" si="10"/>
        <v>1000</v>
      </c>
      <c r="E104" s="195">
        <f t="shared" si="10"/>
        <v>4500</v>
      </c>
      <c r="F104" s="195">
        <f t="shared" si="10"/>
        <v>4725</v>
      </c>
      <c r="G104" s="195">
        <f t="shared" si="10"/>
        <v>4961.25</v>
      </c>
      <c r="H104" s="195">
        <f t="shared" si="10"/>
        <v>5209.3125</v>
      </c>
      <c r="I104" s="195">
        <f t="shared" si="10"/>
        <v>5469.7781250000007</v>
      </c>
      <c r="J104" s="195">
        <f t="shared" si="10"/>
        <v>5743.2670312500013</v>
      </c>
    </row>
    <row r="105" spans="1:10" ht="15" x14ac:dyDescent="0.2">
      <c r="A105" s="148"/>
      <c r="B105" s="156"/>
      <c r="C105" s="86"/>
      <c r="D105" s="86"/>
      <c r="E105" s="86"/>
      <c r="F105" s="86"/>
      <c r="G105" s="86"/>
      <c r="H105" s="86"/>
      <c r="I105" s="86"/>
      <c r="J105" s="86"/>
    </row>
    <row r="106" spans="1:10" ht="15" x14ac:dyDescent="0.2">
      <c r="A106" s="135" t="s">
        <v>488</v>
      </c>
      <c r="B106" s="156"/>
      <c r="C106" s="86"/>
      <c r="D106" s="86"/>
      <c r="E106" s="86"/>
      <c r="F106" s="86"/>
      <c r="G106" s="86"/>
      <c r="H106" s="86"/>
      <c r="I106" s="86"/>
      <c r="J106" s="86"/>
    </row>
    <row r="107" spans="1:10" ht="15" x14ac:dyDescent="0.2">
      <c r="A107" s="149" t="s">
        <v>223</v>
      </c>
      <c r="B107" s="129" t="s">
        <v>489</v>
      </c>
      <c r="C107" s="162">
        <f>SUM('6511 Expenditures'!E65)</f>
        <v>10725</v>
      </c>
      <c r="D107" s="162">
        <f>SUM('6511 Expenditures'!F65)</f>
        <v>11260</v>
      </c>
      <c r="E107" s="162">
        <f>SUM('6511 Expenditures'!G65)</f>
        <v>11541.499999999998</v>
      </c>
      <c r="F107" s="162">
        <f>SUM('6511 Expenditures'!H65)</f>
        <v>11830.037499999997</v>
      </c>
      <c r="G107" s="162">
        <f>SUM('6511 Expenditures'!I65)</f>
        <v>12125.788437499996</v>
      </c>
      <c r="H107" s="162">
        <f>SUM('6511 Expenditures'!J65)</f>
        <v>12428.933148437494</v>
      </c>
      <c r="I107" s="162">
        <f>SUM('6511 Expenditures'!K65)</f>
        <v>12739.65647714843</v>
      </c>
      <c r="J107" s="162">
        <f>SUM('6511 Expenditures'!L65)</f>
        <v>13058.14788907714</v>
      </c>
    </row>
    <row r="108" spans="1:10" ht="15" x14ac:dyDescent="0.2">
      <c r="A108" s="119" t="s">
        <v>359</v>
      </c>
      <c r="B108" s="125" t="s">
        <v>360</v>
      </c>
      <c r="C108" s="162">
        <v>0</v>
      </c>
      <c r="D108" s="162">
        <v>0</v>
      </c>
      <c r="E108" s="162">
        <f>'6511 Expenditures'!G67</f>
        <v>1100</v>
      </c>
      <c r="F108" s="162">
        <f>'6511 Expenditures'!H67</f>
        <v>1127.5</v>
      </c>
      <c r="G108" s="162">
        <f>'6511 Expenditures'!I67</f>
        <v>1155.6875</v>
      </c>
      <c r="H108" s="162">
        <f>'6511 Expenditures'!J67</f>
        <v>1184.5796874999999</v>
      </c>
      <c r="I108" s="162">
        <f>'6511 Expenditures'!K67</f>
        <v>1214.1941796874999</v>
      </c>
      <c r="J108" s="162">
        <f>'6511 Expenditures'!L67</f>
        <v>1244.5490341796872</v>
      </c>
    </row>
    <row r="109" spans="1:10" ht="15" x14ac:dyDescent="0.2">
      <c r="A109" s="149" t="s">
        <v>224</v>
      </c>
      <c r="B109" s="129" t="s">
        <v>172</v>
      </c>
      <c r="C109" s="162">
        <f>SUM('6511 Expenditures'!E69)</f>
        <v>7900</v>
      </c>
      <c r="D109" s="162">
        <f>SUM('6511 Expenditures'!F69)</f>
        <v>8300</v>
      </c>
      <c r="E109" s="162">
        <f>SUM('6511 Expenditures'!G69)</f>
        <v>8507.5</v>
      </c>
      <c r="F109" s="162">
        <f>SUM('6511 Expenditures'!H69)</f>
        <v>8720.1875</v>
      </c>
      <c r="G109" s="162">
        <f>SUM('6511 Expenditures'!I69)</f>
        <v>8938.1921874999989</v>
      </c>
      <c r="H109" s="162">
        <f>SUM('6511 Expenditures'!J69)</f>
        <v>9161.6469921874977</v>
      </c>
      <c r="I109" s="162">
        <f>SUM('6511 Expenditures'!K69)</f>
        <v>9390.6881669921841</v>
      </c>
      <c r="J109" s="162">
        <f>SUM('6511 Expenditures'!L69)</f>
        <v>9625.4553711669887</v>
      </c>
    </row>
    <row r="110" spans="1:10" ht="15" x14ac:dyDescent="0.25">
      <c r="A110" s="149"/>
      <c r="B110" s="171" t="s">
        <v>516</v>
      </c>
      <c r="C110" s="195">
        <f t="shared" ref="C110:J110" si="11">SUM(C107:C109)</f>
        <v>18625</v>
      </c>
      <c r="D110" s="195">
        <f t="shared" si="11"/>
        <v>19560</v>
      </c>
      <c r="E110" s="195">
        <f t="shared" si="11"/>
        <v>21149</v>
      </c>
      <c r="F110" s="195">
        <f t="shared" si="11"/>
        <v>21677.724999999999</v>
      </c>
      <c r="G110" s="195">
        <f t="shared" si="11"/>
        <v>22219.668124999997</v>
      </c>
      <c r="H110" s="195">
        <f t="shared" si="11"/>
        <v>22775.15982812499</v>
      </c>
      <c r="I110" s="195">
        <f t="shared" si="11"/>
        <v>23344.538823828116</v>
      </c>
      <c r="J110" s="195">
        <f t="shared" si="11"/>
        <v>23928.152294423817</v>
      </c>
    </row>
    <row r="111" spans="1:10" ht="15" x14ac:dyDescent="0.2">
      <c r="A111" s="148"/>
      <c r="B111" s="129"/>
      <c r="C111" s="86"/>
      <c r="D111" s="86"/>
      <c r="E111" s="86"/>
      <c r="F111" s="86"/>
      <c r="G111" s="86"/>
      <c r="H111" s="86"/>
      <c r="I111" s="86"/>
      <c r="J111" s="86"/>
    </row>
    <row r="112" spans="1:10" ht="15" x14ac:dyDescent="0.2">
      <c r="A112" s="135" t="s">
        <v>490</v>
      </c>
      <c r="B112" s="129"/>
      <c r="C112" s="86"/>
      <c r="D112" s="86"/>
      <c r="E112" s="86"/>
      <c r="F112" s="86"/>
      <c r="G112" s="86"/>
      <c r="H112" s="86"/>
      <c r="I112" s="86"/>
      <c r="J112" s="86"/>
    </row>
    <row r="113" spans="1:10" ht="15" x14ac:dyDescent="0.2">
      <c r="A113" s="149" t="s">
        <v>225</v>
      </c>
      <c r="B113" s="129" t="s">
        <v>43</v>
      </c>
      <c r="C113" s="162">
        <f>SUM('6511 Expenditures'!E72)</f>
        <v>2500</v>
      </c>
      <c r="D113" s="162">
        <f>SUM('6511 Expenditures'!F72)</f>
        <v>2500</v>
      </c>
      <c r="E113" s="162">
        <f>SUM('6511 Expenditures'!G72)</f>
        <v>3000</v>
      </c>
      <c r="F113" s="162">
        <f>SUM('6511 Expenditures'!H72)</f>
        <v>3000</v>
      </c>
      <c r="G113" s="162">
        <f>SUM('6511 Expenditures'!I72)</f>
        <v>3000</v>
      </c>
      <c r="H113" s="162">
        <f>SUM('6511 Expenditures'!J72)</f>
        <v>3000</v>
      </c>
      <c r="I113" s="162">
        <f>SUM('6511 Expenditures'!K72)</f>
        <v>3000</v>
      </c>
      <c r="J113" s="162">
        <f>SUM('6511 Expenditures'!L72)</f>
        <v>3000</v>
      </c>
    </row>
    <row r="114" spans="1:10" ht="15" x14ac:dyDescent="0.2">
      <c r="A114" s="149" t="s">
        <v>226</v>
      </c>
      <c r="B114" s="129" t="s">
        <v>44</v>
      </c>
      <c r="C114" s="162">
        <f>SUM('6511 Expenditures'!E76)</f>
        <v>8000</v>
      </c>
      <c r="D114" s="162">
        <f>SUM('6511 Expenditures'!F76)</f>
        <v>8000</v>
      </c>
      <c r="E114" s="162">
        <f>SUM('6511 Expenditures'!G76)</f>
        <v>12000</v>
      </c>
      <c r="F114" s="162">
        <f>SUM('6511 Expenditures'!H76)</f>
        <v>12299.999999999998</v>
      </c>
      <c r="G114" s="162">
        <f>SUM('6511 Expenditures'!I76)</f>
        <v>12607.499999999996</v>
      </c>
      <c r="H114" s="162">
        <f>SUM('6511 Expenditures'!J76)</f>
        <v>12922.687499999995</v>
      </c>
      <c r="I114" s="162">
        <f>SUM('6511 Expenditures'!K76)</f>
        <v>13245.754687499993</v>
      </c>
      <c r="J114" s="162">
        <f>SUM('6511 Expenditures'!L76)</f>
        <v>13576.898554687492</v>
      </c>
    </row>
    <row r="115" spans="1:10" ht="15" x14ac:dyDescent="0.2">
      <c r="A115" s="116" t="s">
        <v>370</v>
      </c>
      <c r="B115" s="130" t="s">
        <v>371</v>
      </c>
      <c r="C115" s="162">
        <f>SUM('6511 Expenditures'!E77)</f>
        <v>450</v>
      </c>
      <c r="D115" s="162">
        <f>SUM('6511 Expenditures'!F77)</f>
        <v>100</v>
      </c>
      <c r="E115" s="162">
        <f>SUM('6511 Expenditures'!G77)</f>
        <v>100</v>
      </c>
      <c r="F115" s="162">
        <f>SUM('6511 Expenditures'!H77)</f>
        <v>100</v>
      </c>
      <c r="G115" s="162">
        <f>SUM('6511 Expenditures'!I77)</f>
        <v>100</v>
      </c>
      <c r="H115" s="162">
        <f>SUM('6511 Expenditures'!J77)</f>
        <v>100</v>
      </c>
      <c r="I115" s="162">
        <f>SUM('6511 Expenditures'!K77)</f>
        <v>100</v>
      </c>
      <c r="J115" s="162">
        <f>SUM('6511 Expenditures'!L77)</f>
        <v>100</v>
      </c>
    </row>
    <row r="116" spans="1:10" ht="15" x14ac:dyDescent="0.25">
      <c r="A116" s="149"/>
      <c r="B116" s="171" t="s">
        <v>516</v>
      </c>
      <c r="C116" s="195">
        <f t="shared" ref="C116:J116" si="12">SUM(C113:C115)</f>
        <v>10950</v>
      </c>
      <c r="D116" s="195">
        <f t="shared" si="12"/>
        <v>10600</v>
      </c>
      <c r="E116" s="195">
        <f t="shared" si="12"/>
        <v>15100</v>
      </c>
      <c r="F116" s="195">
        <f t="shared" si="12"/>
        <v>15399.999999999998</v>
      </c>
      <c r="G116" s="195">
        <f t="shared" si="12"/>
        <v>15707.499999999996</v>
      </c>
      <c r="H116" s="195">
        <f t="shared" si="12"/>
        <v>16022.687499999995</v>
      </c>
      <c r="I116" s="195">
        <f t="shared" si="12"/>
        <v>16345.754687499993</v>
      </c>
      <c r="J116" s="195">
        <f t="shared" si="12"/>
        <v>16676.89855468749</v>
      </c>
    </row>
    <row r="117" spans="1:10" ht="15" x14ac:dyDescent="0.2">
      <c r="A117" s="148"/>
      <c r="B117" s="129"/>
      <c r="C117" s="86"/>
      <c r="D117" s="86"/>
      <c r="E117" s="86"/>
      <c r="F117" s="86"/>
      <c r="G117" s="86"/>
      <c r="H117" s="86"/>
      <c r="I117" s="86"/>
      <c r="J117" s="86"/>
    </row>
    <row r="118" spans="1:10" ht="15" x14ac:dyDescent="0.2">
      <c r="A118" s="135" t="s">
        <v>491</v>
      </c>
      <c r="B118" s="129"/>
      <c r="C118" s="86"/>
      <c r="D118" s="86"/>
      <c r="E118" s="86"/>
      <c r="F118" s="86"/>
      <c r="G118" s="86"/>
      <c r="H118" s="86"/>
      <c r="I118" s="86"/>
      <c r="J118" s="86"/>
    </row>
    <row r="119" spans="1:10" ht="15" x14ac:dyDescent="0.2">
      <c r="A119" s="148" t="s">
        <v>227</v>
      </c>
      <c r="B119" s="129" t="s">
        <v>181</v>
      </c>
      <c r="C119" s="162">
        <f>SUM('6511 Expenditures'!E110)</f>
        <v>36000</v>
      </c>
      <c r="D119" s="162">
        <f>SUM('6511 Expenditures'!F110)</f>
        <v>36000</v>
      </c>
      <c r="E119" s="162">
        <f>SUM('6511 Expenditures'!G110)</f>
        <v>37440</v>
      </c>
      <c r="F119" s="162">
        <f>SUM('6511 Expenditures'!H110)</f>
        <v>38937.599999999999</v>
      </c>
      <c r="G119" s="162">
        <f>SUM('6511 Expenditures'!I110)</f>
        <v>40495.103999999999</v>
      </c>
      <c r="H119" s="162">
        <f>SUM('6511 Expenditures'!J110)</f>
        <v>42114.908159999999</v>
      </c>
      <c r="I119" s="162">
        <f>SUM('6511 Expenditures'!K110)</f>
        <v>43799.504486400001</v>
      </c>
      <c r="J119" s="162">
        <f>SUM('6511 Expenditures'!L110)</f>
        <v>45551.484665856005</v>
      </c>
    </row>
    <row r="120" spans="1:10" ht="15" x14ac:dyDescent="0.2">
      <c r="A120" s="148" t="s">
        <v>228</v>
      </c>
      <c r="B120" s="129" t="s">
        <v>182</v>
      </c>
      <c r="C120" s="162">
        <f>SUM('6511 Expenditures'!E111)</f>
        <v>20000</v>
      </c>
      <c r="D120" s="162">
        <f>SUM('6511 Expenditures'!F111)</f>
        <v>20000</v>
      </c>
      <c r="E120" s="162">
        <f>SUM('6511 Expenditures'!G111)</f>
        <v>20800</v>
      </c>
      <c r="F120" s="162">
        <f>SUM('6511 Expenditures'!H111)</f>
        <v>21632</v>
      </c>
      <c r="G120" s="162">
        <f>SUM('6511 Expenditures'!I111)</f>
        <v>22497.280000000002</v>
      </c>
      <c r="H120" s="162">
        <f>SUM('6511 Expenditures'!J111)</f>
        <v>23397.171200000004</v>
      </c>
      <c r="I120" s="162">
        <f>SUM('6511 Expenditures'!K111)</f>
        <v>24333.058048000006</v>
      </c>
      <c r="J120" s="162">
        <f>SUM('6511 Expenditures'!L111)</f>
        <v>25306.380369920007</v>
      </c>
    </row>
    <row r="121" spans="1:10" ht="15" x14ac:dyDescent="0.2">
      <c r="A121" s="153" t="s">
        <v>229</v>
      </c>
      <c r="B121" s="157"/>
      <c r="C121" s="162">
        <f>SUM('6511 Expenditures'!E112)</f>
        <v>1100</v>
      </c>
      <c r="D121" s="162">
        <f>SUM('6511 Expenditures'!F112)</f>
        <v>1300</v>
      </c>
      <c r="E121" s="162">
        <f>SUM('6511 Expenditures'!G112)</f>
        <v>1352</v>
      </c>
      <c r="F121" s="162">
        <f>SUM('6511 Expenditures'!H112)</f>
        <v>1406.0800000000002</v>
      </c>
      <c r="G121" s="162">
        <f>SUM('6511 Expenditures'!I112)</f>
        <v>1462.3232000000003</v>
      </c>
      <c r="H121" s="162">
        <f>SUM('6511 Expenditures'!J112)</f>
        <v>1520.8161280000004</v>
      </c>
      <c r="I121" s="162">
        <f>SUM('6511 Expenditures'!K112)</f>
        <v>1581.6487731200004</v>
      </c>
      <c r="J121" s="162">
        <f>SUM('6511 Expenditures'!L112)</f>
        <v>1644.9147240448006</v>
      </c>
    </row>
    <row r="122" spans="1:10" ht="15" x14ac:dyDescent="0.25">
      <c r="A122" s="153"/>
      <c r="B122" s="171" t="s">
        <v>516</v>
      </c>
      <c r="C122" s="257">
        <f t="shared" ref="C122:J122" si="13">SUM(C119:C121)</f>
        <v>57100</v>
      </c>
      <c r="D122" s="257">
        <f t="shared" si="13"/>
        <v>57300</v>
      </c>
      <c r="E122" s="257">
        <f t="shared" si="13"/>
        <v>59592</v>
      </c>
      <c r="F122" s="257">
        <f t="shared" si="13"/>
        <v>61975.68</v>
      </c>
      <c r="G122" s="257">
        <f t="shared" si="13"/>
        <v>64454.707200000004</v>
      </c>
      <c r="H122" s="257">
        <f t="shared" si="13"/>
        <v>67032.895488000009</v>
      </c>
      <c r="I122" s="257">
        <f t="shared" si="13"/>
        <v>69714.211307520003</v>
      </c>
      <c r="J122" s="257">
        <f t="shared" si="13"/>
        <v>72502.779759820827</v>
      </c>
    </row>
    <row r="123" spans="1:10" ht="15" x14ac:dyDescent="0.2">
      <c r="A123" s="153"/>
      <c r="B123" s="147"/>
      <c r="C123" s="86"/>
      <c r="D123" s="86"/>
      <c r="E123" s="86"/>
      <c r="F123" s="86"/>
      <c r="G123" s="86"/>
      <c r="H123" s="86"/>
      <c r="I123" s="86"/>
      <c r="J123" s="86"/>
    </row>
    <row r="124" spans="1:10" ht="15" x14ac:dyDescent="0.2">
      <c r="A124" s="135" t="s">
        <v>492</v>
      </c>
      <c r="B124" s="152"/>
      <c r="C124" s="86"/>
      <c r="D124" s="86"/>
      <c r="E124" s="86"/>
      <c r="F124" s="86"/>
      <c r="G124" s="86"/>
      <c r="H124" s="86"/>
      <c r="I124" s="86"/>
      <c r="J124" s="86"/>
    </row>
    <row r="125" spans="1:10" ht="15" x14ac:dyDescent="0.2">
      <c r="A125" s="154" t="s">
        <v>230</v>
      </c>
      <c r="B125" s="129" t="s">
        <v>196</v>
      </c>
      <c r="C125" s="162">
        <f>SUM('6511 Expenditures'!E115)</f>
        <v>9000</v>
      </c>
      <c r="D125" s="162">
        <f>SUM('6511 Expenditures'!F115)</f>
        <v>9000</v>
      </c>
      <c r="E125" s="162">
        <f>SUM('6511 Expenditures'!G115)</f>
        <v>9360</v>
      </c>
      <c r="F125" s="162">
        <f>SUM('6511 Expenditures'!H115)</f>
        <v>9734.4</v>
      </c>
      <c r="G125" s="162">
        <f>SUM('6511 Expenditures'!I115)</f>
        <v>10123.776</v>
      </c>
      <c r="H125" s="162">
        <f>SUM('6511 Expenditures'!J115)</f>
        <v>10528.72704</v>
      </c>
      <c r="I125" s="162">
        <f>SUM('6511 Expenditures'!K115)</f>
        <v>10949.8761216</v>
      </c>
      <c r="J125" s="162">
        <f>SUM('6511 Expenditures'!L115)</f>
        <v>11387.871166464001</v>
      </c>
    </row>
    <row r="126" spans="1:10" ht="15" x14ac:dyDescent="0.25">
      <c r="A126" s="154"/>
      <c r="B126" s="171" t="s">
        <v>516</v>
      </c>
      <c r="C126" s="257">
        <f t="shared" ref="C126:J126" si="14">SUM(C125)</f>
        <v>9000</v>
      </c>
      <c r="D126" s="257">
        <f t="shared" si="14"/>
        <v>9000</v>
      </c>
      <c r="E126" s="257">
        <f t="shared" si="14"/>
        <v>9360</v>
      </c>
      <c r="F126" s="257">
        <f t="shared" si="14"/>
        <v>9734.4</v>
      </c>
      <c r="G126" s="257">
        <f t="shared" si="14"/>
        <v>10123.776</v>
      </c>
      <c r="H126" s="257">
        <f t="shared" si="14"/>
        <v>10528.72704</v>
      </c>
      <c r="I126" s="257">
        <f t="shared" si="14"/>
        <v>10949.8761216</v>
      </c>
      <c r="J126" s="257">
        <f t="shared" si="14"/>
        <v>11387.871166464001</v>
      </c>
    </row>
    <row r="127" spans="1:10" ht="15" x14ac:dyDescent="0.2">
      <c r="A127" s="154"/>
      <c r="B127" s="129"/>
      <c r="C127" s="86"/>
      <c r="D127" s="86"/>
      <c r="E127" s="86"/>
      <c r="F127" s="86"/>
      <c r="G127" s="86"/>
      <c r="H127" s="86"/>
      <c r="I127" s="86"/>
      <c r="J127" s="86"/>
    </row>
    <row r="128" spans="1:10" ht="15" x14ac:dyDescent="0.2">
      <c r="A128" s="155" t="s">
        <v>493</v>
      </c>
      <c r="B128" s="129"/>
      <c r="C128" s="86"/>
      <c r="D128" s="86"/>
      <c r="E128" s="86"/>
      <c r="F128" s="86"/>
      <c r="G128" s="86"/>
      <c r="H128" s="86"/>
      <c r="I128" s="86"/>
      <c r="J128" s="86"/>
    </row>
    <row r="129" spans="1:10" ht="15" x14ac:dyDescent="0.2">
      <c r="A129" s="148" t="s">
        <v>231</v>
      </c>
      <c r="B129" s="129" t="s">
        <v>180</v>
      </c>
      <c r="C129" s="162">
        <f>SUM('6511 Expenditures'!E118)</f>
        <v>61000</v>
      </c>
      <c r="D129" s="162">
        <f>SUM('6511 Expenditures'!F118)</f>
        <v>60000</v>
      </c>
      <c r="E129" s="162">
        <f>SUM('6511 Expenditures'!G118)</f>
        <v>60000</v>
      </c>
      <c r="F129" s="162">
        <f>SUM('6511 Expenditures'!H118)</f>
        <v>10000</v>
      </c>
      <c r="G129" s="162">
        <f>SUM('6511 Expenditures'!I118)</f>
        <v>10000</v>
      </c>
      <c r="H129" s="162">
        <f>SUM('6511 Expenditures'!J118)</f>
        <v>10000</v>
      </c>
      <c r="I129" s="162">
        <f>SUM('6511 Expenditures'!K118)</f>
        <v>10000</v>
      </c>
      <c r="J129" s="162">
        <f>SUM('6511 Expenditures'!L118)</f>
        <v>70000</v>
      </c>
    </row>
    <row r="130" spans="1:10" ht="15" x14ac:dyDescent="0.2">
      <c r="A130" s="148" t="s">
        <v>232</v>
      </c>
      <c r="B130" s="157" t="s">
        <v>176</v>
      </c>
      <c r="C130" s="162">
        <f>SUM('6511 Expenditures'!E119)</f>
        <v>25000</v>
      </c>
      <c r="D130" s="162">
        <f>SUM('6511 Expenditures'!F119)</f>
        <v>15000</v>
      </c>
      <c r="E130" s="162">
        <f>SUM('6511 Expenditures'!G119)</f>
        <v>40000</v>
      </c>
      <c r="F130" s="162">
        <f>SUM('6511 Expenditures'!H119)</f>
        <v>25000</v>
      </c>
      <c r="G130" s="162">
        <f>SUM('6511 Expenditures'!I119)</f>
        <v>15000</v>
      </c>
      <c r="H130" s="162">
        <f>SUM('6511 Expenditures'!J119)</f>
        <v>15000</v>
      </c>
      <c r="I130" s="162">
        <f>SUM('6511 Expenditures'!K119)</f>
        <v>15000</v>
      </c>
      <c r="J130" s="162">
        <f>SUM('6511 Expenditures'!L119)</f>
        <v>15000</v>
      </c>
    </row>
    <row r="131" spans="1:10" ht="15" x14ac:dyDescent="0.2">
      <c r="A131" s="148" t="s">
        <v>233</v>
      </c>
      <c r="B131" s="157" t="s">
        <v>199</v>
      </c>
      <c r="C131" s="162">
        <f>SUM('6511 Expenditures'!E120)</f>
        <v>13000</v>
      </c>
      <c r="D131" s="162">
        <f>SUM('6511 Expenditures'!F120)</f>
        <v>13000</v>
      </c>
      <c r="E131" s="162">
        <f>SUM('6511 Expenditures'!G120)</f>
        <v>22000</v>
      </c>
      <c r="F131" s="162">
        <f>SUM('6511 Expenditures'!H120)</f>
        <v>23100</v>
      </c>
      <c r="G131" s="162">
        <f>SUM('6511 Expenditures'!I120)</f>
        <v>24255</v>
      </c>
      <c r="H131" s="162">
        <f>SUM('6511 Expenditures'!J120)</f>
        <v>25467.75</v>
      </c>
      <c r="I131" s="162">
        <f>SUM('6511 Expenditures'!K120)</f>
        <v>26741.137500000001</v>
      </c>
      <c r="J131" s="162">
        <f>SUM('6511 Expenditures'!L120)</f>
        <v>28078.194375000003</v>
      </c>
    </row>
    <row r="132" spans="1:10" ht="15" x14ac:dyDescent="0.25">
      <c r="A132" s="148"/>
      <c r="B132" s="171" t="s">
        <v>516</v>
      </c>
      <c r="C132" s="195">
        <f t="shared" ref="C132:J132" si="15">SUM(C129:C131)</f>
        <v>99000</v>
      </c>
      <c r="D132" s="195">
        <f t="shared" si="15"/>
        <v>88000</v>
      </c>
      <c r="E132" s="195">
        <f t="shared" si="15"/>
        <v>122000</v>
      </c>
      <c r="F132" s="195">
        <f t="shared" si="15"/>
        <v>58100</v>
      </c>
      <c r="G132" s="195">
        <f t="shared" si="15"/>
        <v>49255</v>
      </c>
      <c r="H132" s="195">
        <f t="shared" si="15"/>
        <v>50467.75</v>
      </c>
      <c r="I132" s="195">
        <f t="shared" si="15"/>
        <v>51741.137499999997</v>
      </c>
      <c r="J132" s="195">
        <f t="shared" si="15"/>
        <v>113078.19437500001</v>
      </c>
    </row>
    <row r="133" spans="1:10" ht="15" x14ac:dyDescent="0.2">
      <c r="A133" s="148"/>
      <c r="B133" s="157"/>
      <c r="C133" s="86"/>
      <c r="D133" s="86"/>
      <c r="E133" s="86"/>
      <c r="F133" s="86"/>
      <c r="G133" s="86"/>
      <c r="H133" s="86"/>
      <c r="I133" s="86"/>
      <c r="J133" s="86"/>
    </row>
    <row r="134" spans="1:10" ht="15" x14ac:dyDescent="0.2">
      <c r="A134" s="135" t="s">
        <v>494</v>
      </c>
      <c r="B134" s="157"/>
      <c r="C134" s="86"/>
      <c r="D134" s="86"/>
      <c r="E134" s="86"/>
      <c r="F134" s="86"/>
      <c r="G134" s="86"/>
      <c r="H134" s="86"/>
      <c r="I134" s="86"/>
      <c r="J134" s="86"/>
    </row>
    <row r="135" spans="1:10" ht="15" x14ac:dyDescent="0.2">
      <c r="A135" s="153" t="s">
        <v>234</v>
      </c>
      <c r="B135" s="129" t="s">
        <v>41</v>
      </c>
      <c r="C135" s="162">
        <f>SUM('6511 Expenditures'!E123)</f>
        <v>45000</v>
      </c>
      <c r="D135" s="162">
        <f>SUM('6511 Expenditures'!F123)</f>
        <v>45000</v>
      </c>
      <c r="E135" s="162">
        <f>SUM('6511 Expenditures'!G123)</f>
        <v>45000</v>
      </c>
      <c r="F135" s="162">
        <f>SUM('6511 Expenditures'!H123)</f>
        <v>54000</v>
      </c>
      <c r="G135" s="162">
        <f>SUM('6511 Expenditures'!I123)</f>
        <v>54000</v>
      </c>
      <c r="H135" s="162">
        <f>SUM('6511 Expenditures'!J123)</f>
        <v>54000</v>
      </c>
      <c r="I135" s="162">
        <f>SUM('6511 Expenditures'!K123)</f>
        <v>54000</v>
      </c>
      <c r="J135" s="162">
        <f>SUM('6511 Expenditures'!L123)</f>
        <v>54000</v>
      </c>
    </row>
    <row r="136" spans="1:10" ht="15" x14ac:dyDescent="0.2">
      <c r="A136" s="153" t="s">
        <v>235</v>
      </c>
      <c r="B136" s="129" t="s">
        <v>197</v>
      </c>
      <c r="C136" s="162">
        <f>SUM('6511 Expenditures'!E124)</f>
        <v>30000</v>
      </c>
      <c r="D136" s="162">
        <f>SUM('6511 Expenditures'!F124)</f>
        <v>30000</v>
      </c>
      <c r="E136" s="162">
        <f>SUM('6511 Expenditures'!G124)</f>
        <v>30000</v>
      </c>
      <c r="F136" s="162">
        <f>SUM('6511 Expenditures'!H124)</f>
        <v>36000</v>
      </c>
      <c r="G136" s="162">
        <f>SUM('6511 Expenditures'!I124)</f>
        <v>36000</v>
      </c>
      <c r="H136" s="162">
        <f>SUM('6511 Expenditures'!J124)</f>
        <v>36000</v>
      </c>
      <c r="I136" s="162">
        <f>SUM('6511 Expenditures'!K124)</f>
        <v>36000</v>
      </c>
      <c r="J136" s="162">
        <f>SUM('6511 Expenditures'!L124)</f>
        <v>36000</v>
      </c>
    </row>
    <row r="137" spans="1:10" ht="15" x14ac:dyDescent="0.2">
      <c r="A137" s="153" t="s">
        <v>495</v>
      </c>
      <c r="B137" s="129" t="s">
        <v>496</v>
      </c>
      <c r="C137" s="162">
        <f>SUM('6511 Expenditures'!E125)</f>
        <v>4500</v>
      </c>
      <c r="D137" s="162">
        <f>SUM('6511 Expenditures'!F125)</f>
        <v>4500</v>
      </c>
      <c r="E137" s="162">
        <f>SUM('6511 Expenditures'!G125)</f>
        <v>4500</v>
      </c>
      <c r="F137" s="162">
        <f>SUM('6511 Expenditures'!H125)</f>
        <v>4500</v>
      </c>
      <c r="G137" s="162">
        <f>SUM('6511 Expenditures'!I125)</f>
        <v>4500</v>
      </c>
      <c r="H137" s="162">
        <f>SUM('6511 Expenditures'!J125)</f>
        <v>4500</v>
      </c>
      <c r="I137" s="162">
        <f>SUM('6511 Expenditures'!K125)</f>
        <v>4500</v>
      </c>
      <c r="J137" s="162">
        <f>SUM('6511 Expenditures'!L125)</f>
        <v>4500</v>
      </c>
    </row>
    <row r="138" spans="1:10" ht="15" x14ac:dyDescent="0.2">
      <c r="A138" s="153" t="s">
        <v>236</v>
      </c>
      <c r="B138" s="129" t="s">
        <v>175</v>
      </c>
      <c r="C138" s="162">
        <f>SUM('6511 Expenditures'!E126)</f>
        <v>1000</v>
      </c>
      <c r="D138" s="162">
        <f>SUM('6511 Expenditures'!F126)</f>
        <v>500</v>
      </c>
      <c r="E138" s="162">
        <f>SUM('6511 Expenditures'!G126)</f>
        <v>500</v>
      </c>
      <c r="F138" s="162">
        <f>SUM('6511 Expenditures'!H126)</f>
        <v>500</v>
      </c>
      <c r="G138" s="162">
        <f>SUM('6511 Expenditures'!I126)</f>
        <v>500</v>
      </c>
      <c r="H138" s="162">
        <f>SUM('6511 Expenditures'!J126)</f>
        <v>500</v>
      </c>
      <c r="I138" s="162">
        <f>SUM('6511 Expenditures'!K126)</f>
        <v>500</v>
      </c>
      <c r="J138" s="162">
        <f>SUM('6511 Expenditures'!L126)</f>
        <v>500</v>
      </c>
    </row>
    <row r="139" spans="1:10" ht="15" x14ac:dyDescent="0.2">
      <c r="A139" s="153" t="s">
        <v>237</v>
      </c>
      <c r="B139" s="129" t="s">
        <v>179</v>
      </c>
      <c r="C139" s="162">
        <f>SUM('6511 Expenditures'!E127)</f>
        <v>1000</v>
      </c>
      <c r="D139" s="162">
        <f>SUM('6511 Expenditures'!F127)</f>
        <v>1000</v>
      </c>
      <c r="E139" s="162">
        <f>SUM('6511 Expenditures'!G127)</f>
        <v>1000</v>
      </c>
      <c r="F139" s="162">
        <f>SUM('6511 Expenditures'!H127)</f>
        <v>1200</v>
      </c>
      <c r="G139" s="162">
        <f>SUM('6511 Expenditures'!I127)</f>
        <v>1200</v>
      </c>
      <c r="H139" s="162">
        <f>SUM('6511 Expenditures'!J127)</f>
        <v>1200</v>
      </c>
      <c r="I139" s="162">
        <f>SUM('6511 Expenditures'!K127)</f>
        <v>1200</v>
      </c>
      <c r="J139" s="162">
        <f>SUM('6511 Expenditures'!L127)</f>
        <v>1200</v>
      </c>
    </row>
    <row r="140" spans="1:10" ht="15" x14ac:dyDescent="0.2">
      <c r="A140" s="153" t="s">
        <v>238</v>
      </c>
      <c r="B140" s="129" t="s">
        <v>178</v>
      </c>
      <c r="C140" s="162">
        <f>SUM('6511 Expenditures'!E128)</f>
        <v>17000</v>
      </c>
      <c r="D140" s="162">
        <f>SUM('6511 Expenditures'!F128)</f>
        <v>18000</v>
      </c>
      <c r="E140" s="162">
        <f>SUM('6511 Expenditures'!G128)</f>
        <v>18900</v>
      </c>
      <c r="F140" s="162">
        <f>SUM('6511 Expenditures'!H128)</f>
        <v>21735</v>
      </c>
      <c r="G140" s="162">
        <f>SUM('6511 Expenditures'!I128)</f>
        <v>22821.75</v>
      </c>
      <c r="H140" s="162">
        <f>SUM('6511 Expenditures'!J128)</f>
        <v>23962.837500000001</v>
      </c>
      <c r="I140" s="162">
        <f>SUM('6511 Expenditures'!K128)</f>
        <v>25160.979375000003</v>
      </c>
      <c r="J140" s="162">
        <f>SUM('6511 Expenditures'!L128)</f>
        <v>28935.126281249999</v>
      </c>
    </row>
    <row r="141" spans="1:10" ht="15" x14ac:dyDescent="0.2">
      <c r="A141" s="153" t="s">
        <v>239</v>
      </c>
      <c r="B141" s="129" t="s">
        <v>497</v>
      </c>
      <c r="C141" s="162">
        <f>SUM('6511 Expenditures'!E129)</f>
        <v>22500</v>
      </c>
      <c r="D141" s="162">
        <f>SUM('6511 Expenditures'!F129)</f>
        <v>25000</v>
      </c>
      <c r="E141" s="162">
        <f>SUM('6511 Expenditures'!G129)</f>
        <v>26250</v>
      </c>
      <c r="F141" s="162">
        <f>SUM('6511 Expenditures'!H129)</f>
        <v>27562.5</v>
      </c>
      <c r="G141" s="162">
        <f>SUM('6511 Expenditures'!I129)</f>
        <v>28940.625</v>
      </c>
      <c r="H141" s="162">
        <f>SUM('6511 Expenditures'!J129)</f>
        <v>30387.65625</v>
      </c>
      <c r="I141" s="162">
        <f>SUM('6511 Expenditures'!K129)</f>
        <v>31907.0390625</v>
      </c>
      <c r="J141" s="162">
        <f>SUM('6511 Expenditures'!L129)</f>
        <v>33502.391015624999</v>
      </c>
    </row>
    <row r="142" spans="1:10" ht="15" x14ac:dyDescent="0.2">
      <c r="A142" s="125" t="s">
        <v>240</v>
      </c>
      <c r="B142" s="117" t="s">
        <v>388</v>
      </c>
      <c r="C142" s="162">
        <f>SUM('6511 Expenditures'!E130)</f>
        <v>1500</v>
      </c>
      <c r="D142" s="162">
        <f>SUM('6511 Expenditures'!F130)</f>
        <v>2000</v>
      </c>
      <c r="E142" s="162">
        <f>SUM('6511 Expenditures'!G130)</f>
        <v>0</v>
      </c>
      <c r="F142" s="162">
        <f>SUM('6511 Expenditures'!H130)</f>
        <v>2000</v>
      </c>
      <c r="G142" s="162">
        <f>SUM('6511 Expenditures'!I130)</f>
        <v>0</v>
      </c>
      <c r="H142" s="162">
        <f>SUM('6511 Expenditures'!J130)</f>
        <v>2000</v>
      </c>
      <c r="I142" s="162">
        <f>SUM('6511 Expenditures'!K130)</f>
        <v>0</v>
      </c>
      <c r="J142" s="162">
        <f>SUM('6511 Expenditures'!L130)</f>
        <v>2000</v>
      </c>
    </row>
    <row r="143" spans="1:10" ht="15" x14ac:dyDescent="0.2">
      <c r="A143" s="153" t="s">
        <v>241</v>
      </c>
      <c r="B143" s="129" t="s">
        <v>177</v>
      </c>
      <c r="C143" s="162">
        <f>SUM('6511 Expenditures'!E131)</f>
        <v>3500</v>
      </c>
      <c r="D143" s="162">
        <f>SUM('6511 Expenditures'!F131)</f>
        <v>3500</v>
      </c>
      <c r="E143" s="162">
        <f>SUM('6511 Expenditures'!G131)</f>
        <v>0</v>
      </c>
      <c r="F143" s="162">
        <f>SUM('6511 Expenditures'!H131)</f>
        <v>0</v>
      </c>
      <c r="G143" s="162">
        <f>SUM('6511 Expenditures'!I131)</f>
        <v>0</v>
      </c>
      <c r="H143" s="162">
        <f>SUM('6511 Expenditures'!J131)</f>
        <v>0</v>
      </c>
      <c r="I143" s="162">
        <f>SUM('6511 Expenditures'!K131)</f>
        <v>0</v>
      </c>
      <c r="J143" s="162">
        <f>SUM('6511 Expenditures'!L131)</f>
        <v>0</v>
      </c>
    </row>
    <row r="144" spans="1:10" ht="15" x14ac:dyDescent="0.25">
      <c r="A144" s="153"/>
      <c r="B144" s="171" t="s">
        <v>516</v>
      </c>
      <c r="C144" s="195">
        <f t="shared" ref="C144:J144" si="16">SUM(C135:C143)</f>
        <v>126000</v>
      </c>
      <c r="D144" s="195">
        <f t="shared" si="16"/>
        <v>129500</v>
      </c>
      <c r="E144" s="195">
        <f t="shared" si="16"/>
        <v>126150</v>
      </c>
      <c r="F144" s="195">
        <f t="shared" si="16"/>
        <v>147497.5</v>
      </c>
      <c r="G144" s="195">
        <f t="shared" si="16"/>
        <v>147962.375</v>
      </c>
      <c r="H144" s="195">
        <f t="shared" si="16"/>
        <v>152550.49374999999</v>
      </c>
      <c r="I144" s="195">
        <f t="shared" si="16"/>
        <v>153268.0184375</v>
      </c>
      <c r="J144" s="195">
        <f t="shared" si="16"/>
        <v>160637.51729687501</v>
      </c>
    </row>
    <row r="145" spans="1:10" ht="15" x14ac:dyDescent="0.2">
      <c r="A145" s="148"/>
      <c r="B145" s="129"/>
      <c r="C145" s="86"/>
      <c r="D145" s="86"/>
      <c r="E145" s="86"/>
      <c r="F145" s="86"/>
      <c r="G145" s="86"/>
      <c r="H145" s="86"/>
      <c r="I145" s="86"/>
      <c r="J145" s="86"/>
    </row>
    <row r="146" spans="1:10" ht="15" x14ac:dyDescent="0.2">
      <c r="A146" s="135" t="s">
        <v>498</v>
      </c>
      <c r="B146" s="129"/>
      <c r="C146" s="86"/>
      <c r="D146" s="86"/>
      <c r="E146" s="86"/>
      <c r="F146" s="86"/>
      <c r="G146" s="86"/>
      <c r="H146" s="86"/>
      <c r="I146" s="86"/>
      <c r="J146" s="86"/>
    </row>
    <row r="147" spans="1:10" ht="30" x14ac:dyDescent="0.2">
      <c r="A147" s="148" t="s">
        <v>242</v>
      </c>
      <c r="B147" s="129" t="s">
        <v>168</v>
      </c>
      <c r="C147" s="162">
        <f>SUM('6511 Expenditures'!E134)</f>
        <v>200</v>
      </c>
      <c r="D147" s="162">
        <f>SUM('6511 Expenditures'!F134)</f>
        <v>200</v>
      </c>
      <c r="E147" s="162">
        <f>SUM('6511 Expenditures'!G134)</f>
        <v>1200</v>
      </c>
      <c r="F147" s="162">
        <f>SUM('6511 Expenditures'!H134)</f>
        <v>1248</v>
      </c>
      <c r="G147" s="162">
        <f>SUM('6511 Expenditures'!I134)</f>
        <v>1297.92</v>
      </c>
      <c r="H147" s="162">
        <f>SUM('6511 Expenditures'!J134)</f>
        <v>1349.8368</v>
      </c>
      <c r="I147" s="162">
        <f>SUM('6511 Expenditures'!K134)</f>
        <v>1403.8302720000002</v>
      </c>
      <c r="J147" s="162">
        <f>SUM('6511 Expenditures'!L134)</f>
        <v>1459.9834828800001</v>
      </c>
    </row>
    <row r="148" spans="1:10" ht="15" x14ac:dyDescent="0.2">
      <c r="A148" s="148" t="s">
        <v>243</v>
      </c>
      <c r="B148" s="129" t="s">
        <v>169</v>
      </c>
      <c r="C148" s="162">
        <f>SUM('6511 Expenditures'!E135)</f>
        <v>400</v>
      </c>
      <c r="D148" s="162">
        <f>SUM('6511 Expenditures'!F135)</f>
        <v>400</v>
      </c>
      <c r="E148" s="162">
        <f>SUM('6511 Expenditures'!G135)</f>
        <v>900</v>
      </c>
      <c r="F148" s="162">
        <f>SUM('6511 Expenditures'!H135)</f>
        <v>936</v>
      </c>
      <c r="G148" s="162">
        <f>SUM('6511 Expenditures'!I135)</f>
        <v>973.44</v>
      </c>
      <c r="H148" s="162">
        <f>SUM('6511 Expenditures'!J135)</f>
        <v>1012.3776000000001</v>
      </c>
      <c r="I148" s="162">
        <f>SUM('6511 Expenditures'!K135)</f>
        <v>1052.8727040000001</v>
      </c>
      <c r="J148" s="162">
        <f>SUM('6511 Expenditures'!L135)</f>
        <v>1094.9876121600003</v>
      </c>
    </row>
    <row r="149" spans="1:10" ht="15" x14ac:dyDescent="0.2">
      <c r="A149" s="148" t="s">
        <v>244</v>
      </c>
      <c r="B149" s="129" t="s">
        <v>171</v>
      </c>
      <c r="C149" s="162">
        <f>SUM('6511 Expenditures'!E136)</f>
        <v>300</v>
      </c>
      <c r="D149" s="162">
        <f>SUM('6511 Expenditures'!F136)</f>
        <v>300</v>
      </c>
      <c r="E149" s="162">
        <f>SUM('6511 Expenditures'!G136)</f>
        <v>3600</v>
      </c>
      <c r="F149" s="162">
        <f>SUM('6511 Expenditures'!H136)</f>
        <v>3744</v>
      </c>
      <c r="G149" s="162">
        <f>SUM('6511 Expenditures'!I136)</f>
        <v>3893.76</v>
      </c>
      <c r="H149" s="162">
        <f>SUM('6511 Expenditures'!J136)</f>
        <v>4049.5104000000006</v>
      </c>
      <c r="I149" s="162">
        <f>SUM('6511 Expenditures'!K136)</f>
        <v>4211.4908160000005</v>
      </c>
      <c r="J149" s="162">
        <f>SUM('6511 Expenditures'!L136)</f>
        <v>4379.950448640001</v>
      </c>
    </row>
    <row r="150" spans="1:10" ht="15" x14ac:dyDescent="0.25">
      <c r="A150" s="148"/>
      <c r="B150" s="171" t="s">
        <v>516</v>
      </c>
      <c r="C150" s="195">
        <f t="shared" ref="C150:J150" si="17">SUM(C147:C149)</f>
        <v>900</v>
      </c>
      <c r="D150" s="195">
        <f t="shared" si="17"/>
        <v>900</v>
      </c>
      <c r="E150" s="195">
        <f t="shared" si="17"/>
        <v>5700</v>
      </c>
      <c r="F150" s="195">
        <f t="shared" si="17"/>
        <v>5928</v>
      </c>
      <c r="G150" s="195">
        <f t="shared" si="17"/>
        <v>6165.1200000000008</v>
      </c>
      <c r="H150" s="195">
        <f t="shared" si="17"/>
        <v>6411.7248000000009</v>
      </c>
      <c r="I150" s="195">
        <f t="shared" si="17"/>
        <v>6668.1937920000009</v>
      </c>
      <c r="J150" s="195">
        <f t="shared" si="17"/>
        <v>6934.9215436800014</v>
      </c>
    </row>
    <row r="151" spans="1:10" ht="15" x14ac:dyDescent="0.2">
      <c r="A151" s="148"/>
      <c r="B151" s="156"/>
      <c r="C151" s="86"/>
      <c r="D151" s="86"/>
      <c r="E151" s="86"/>
      <c r="F151" s="86"/>
      <c r="G151" s="86"/>
      <c r="H151" s="86"/>
      <c r="I151" s="86"/>
      <c r="J151" s="86"/>
    </row>
    <row r="152" spans="1:10" ht="15" x14ac:dyDescent="0.2">
      <c r="A152" s="135" t="s">
        <v>499</v>
      </c>
      <c r="B152" s="156"/>
      <c r="C152" s="86"/>
      <c r="D152" s="86"/>
      <c r="E152" s="86"/>
      <c r="F152" s="86"/>
      <c r="G152" s="86"/>
      <c r="H152" s="86"/>
      <c r="I152" s="86"/>
      <c r="J152" s="86"/>
    </row>
    <row r="153" spans="1:10" ht="15" x14ac:dyDescent="0.2">
      <c r="A153" s="149" t="s">
        <v>245</v>
      </c>
      <c r="B153" s="129" t="s">
        <v>500</v>
      </c>
      <c r="C153" s="162">
        <f>SUM('6511 Expenditures'!E139)</f>
        <v>997</v>
      </c>
      <c r="D153" s="162">
        <f>SUM('6511 Expenditures'!F139)</f>
        <v>1000</v>
      </c>
      <c r="E153" s="162">
        <f>SUM('6511 Expenditures'!G139)</f>
        <v>1050</v>
      </c>
      <c r="F153" s="162">
        <f>SUM('6511 Expenditures'!H139)</f>
        <v>1102.5</v>
      </c>
      <c r="G153" s="162">
        <f>SUM('6511 Expenditures'!I139)</f>
        <v>1157.625</v>
      </c>
      <c r="H153" s="162">
        <f>SUM('6511 Expenditures'!J139)</f>
        <v>1215.5062500000001</v>
      </c>
      <c r="I153" s="162">
        <f>SUM('6511 Expenditures'!K139)</f>
        <v>1276.2815625000003</v>
      </c>
      <c r="J153" s="162">
        <f>SUM('6511 Expenditures'!L139)</f>
        <v>1340.0956406250004</v>
      </c>
    </row>
    <row r="154" spans="1:10" ht="15" x14ac:dyDescent="0.2">
      <c r="A154" s="149" t="s">
        <v>246</v>
      </c>
      <c r="B154" s="129" t="s">
        <v>501</v>
      </c>
      <c r="C154" s="162">
        <f>SUM('6511 Expenditures'!E140)</f>
        <v>6489</v>
      </c>
      <c r="D154" s="162">
        <f>SUM('6511 Expenditures'!F140)</f>
        <v>6500</v>
      </c>
      <c r="E154" s="162">
        <f>SUM('6511 Expenditures'!G140)</f>
        <v>6825</v>
      </c>
      <c r="F154" s="162">
        <f>SUM('6511 Expenditures'!H140)</f>
        <v>7166.25</v>
      </c>
      <c r="G154" s="162">
        <f>SUM('6511 Expenditures'!I140)</f>
        <v>7524.5625</v>
      </c>
      <c r="H154" s="162">
        <f>SUM('6511 Expenditures'!J140)</f>
        <v>7900.7906250000005</v>
      </c>
      <c r="I154" s="162">
        <f>SUM('6511 Expenditures'!K140)</f>
        <v>8295.8301562500001</v>
      </c>
      <c r="J154" s="162">
        <f>SUM('6511 Expenditures'!L140)</f>
        <v>8710.6216640625007</v>
      </c>
    </row>
    <row r="155" spans="1:10" ht="30" x14ac:dyDescent="0.2">
      <c r="A155" s="149" t="s">
        <v>247</v>
      </c>
      <c r="B155" s="129" t="s">
        <v>205</v>
      </c>
      <c r="C155" s="162">
        <f>SUM('6511 Expenditures'!E141)</f>
        <v>7174</v>
      </c>
      <c r="D155" s="162">
        <f>SUM('6511 Expenditures'!F141)</f>
        <v>7200</v>
      </c>
      <c r="E155" s="162">
        <f>SUM('6511 Expenditures'!G141)</f>
        <v>7560</v>
      </c>
      <c r="F155" s="162">
        <f>SUM('6511 Expenditures'!H141)</f>
        <v>7938</v>
      </c>
      <c r="G155" s="162">
        <f>SUM('6511 Expenditures'!I141)</f>
        <v>8334.9</v>
      </c>
      <c r="H155" s="162">
        <f>SUM('6511 Expenditures'!J141)</f>
        <v>8751.6450000000004</v>
      </c>
      <c r="I155" s="162">
        <f>SUM('6511 Expenditures'!K141)</f>
        <v>9189.2272500000017</v>
      </c>
      <c r="J155" s="162">
        <f>SUM('6511 Expenditures'!L141)</f>
        <v>9648.6886125000019</v>
      </c>
    </row>
    <row r="156" spans="1:10" ht="15" x14ac:dyDescent="0.25">
      <c r="A156" s="148"/>
      <c r="B156" s="171" t="s">
        <v>516</v>
      </c>
      <c r="C156" s="195">
        <f t="shared" ref="C156:J156" si="18">SUM(C153:C155)</f>
        <v>14660</v>
      </c>
      <c r="D156" s="195">
        <f t="shared" si="18"/>
        <v>14700</v>
      </c>
      <c r="E156" s="195">
        <f t="shared" si="18"/>
        <v>15435</v>
      </c>
      <c r="F156" s="195">
        <f t="shared" si="18"/>
        <v>16206.75</v>
      </c>
      <c r="G156" s="195">
        <f t="shared" si="18"/>
        <v>17017.087500000001</v>
      </c>
      <c r="H156" s="195">
        <f t="shared" si="18"/>
        <v>17867.941875</v>
      </c>
      <c r="I156" s="195">
        <f t="shared" si="18"/>
        <v>18761.338968750002</v>
      </c>
      <c r="J156" s="195">
        <f t="shared" si="18"/>
        <v>19699.405917187505</v>
      </c>
    </row>
    <row r="157" spans="1:10" ht="15" x14ac:dyDescent="0.2">
      <c r="A157" s="135"/>
      <c r="B157" s="129"/>
      <c r="C157" s="86"/>
      <c r="D157" s="86"/>
      <c r="E157" s="86"/>
      <c r="F157" s="86"/>
      <c r="G157" s="86"/>
      <c r="H157" s="86"/>
      <c r="I157" s="86"/>
      <c r="J157" s="86"/>
    </row>
    <row r="158" spans="1:10" ht="15" x14ac:dyDescent="0.2">
      <c r="A158" s="135" t="s">
        <v>502</v>
      </c>
      <c r="B158" s="129"/>
      <c r="C158" s="86"/>
      <c r="D158" s="86"/>
      <c r="E158" s="86"/>
      <c r="F158" s="86"/>
      <c r="G158" s="86"/>
      <c r="H158" s="86"/>
      <c r="I158" s="86"/>
      <c r="J158" s="86"/>
    </row>
    <row r="159" spans="1:10" ht="15" x14ac:dyDescent="0.2">
      <c r="A159" s="149" t="s">
        <v>248</v>
      </c>
      <c r="B159" s="129" t="s">
        <v>194</v>
      </c>
      <c r="C159" s="162">
        <f>SUM('6511 Expenditures'!E144)</f>
        <v>140000</v>
      </c>
      <c r="D159" s="162">
        <f>SUM('6511 Expenditures'!F144)</f>
        <v>0</v>
      </c>
      <c r="E159" s="162">
        <f>SUM('6511 Expenditures'!G144)</f>
        <v>0</v>
      </c>
      <c r="F159" s="162">
        <f>SUM('6511 Expenditures'!H144)</f>
        <v>0</v>
      </c>
      <c r="G159" s="162">
        <f>SUM('6511 Expenditures'!I144)</f>
        <v>0</v>
      </c>
      <c r="H159" s="162">
        <f>SUM('6511 Expenditures'!J144)</f>
        <v>0</v>
      </c>
      <c r="I159" s="162">
        <f>SUM('6511 Expenditures'!K144)</f>
        <v>0</v>
      </c>
      <c r="J159" s="162">
        <f>SUM('6511 Expenditures'!L144)</f>
        <v>0</v>
      </c>
    </row>
    <row r="160" spans="1:10" ht="15" x14ac:dyDescent="0.25">
      <c r="A160" s="148"/>
      <c r="B160" s="171" t="s">
        <v>516</v>
      </c>
      <c r="C160" s="195">
        <f t="shared" ref="C160:J160" si="19">SUM(C159)</f>
        <v>140000</v>
      </c>
      <c r="D160" s="195">
        <f t="shared" si="19"/>
        <v>0</v>
      </c>
      <c r="E160" s="195">
        <f t="shared" si="19"/>
        <v>0</v>
      </c>
      <c r="F160" s="195">
        <f t="shared" si="19"/>
        <v>0</v>
      </c>
      <c r="G160" s="195">
        <f t="shared" si="19"/>
        <v>0</v>
      </c>
      <c r="H160" s="195">
        <f t="shared" si="19"/>
        <v>0</v>
      </c>
      <c r="I160" s="195">
        <f t="shared" si="19"/>
        <v>0</v>
      </c>
      <c r="J160" s="195">
        <f t="shared" si="19"/>
        <v>0</v>
      </c>
    </row>
    <row r="161" spans="1:10" ht="15" x14ac:dyDescent="0.2">
      <c r="A161" s="135"/>
      <c r="B161" s="129"/>
      <c r="C161" s="86"/>
      <c r="D161" s="86"/>
      <c r="E161" s="86"/>
      <c r="F161" s="86"/>
      <c r="G161" s="86"/>
      <c r="H161" s="86"/>
      <c r="I161" s="86"/>
      <c r="J161" s="86"/>
    </row>
    <row r="162" spans="1:10" ht="15" x14ac:dyDescent="0.2">
      <c r="A162" s="135" t="s">
        <v>503</v>
      </c>
      <c r="B162" s="129"/>
      <c r="C162" s="86"/>
      <c r="D162" s="86"/>
      <c r="E162" s="86"/>
      <c r="F162" s="86"/>
      <c r="G162" s="86"/>
      <c r="H162" s="86"/>
      <c r="I162" s="86"/>
      <c r="J162" s="86"/>
    </row>
    <row r="163" spans="1:10" ht="15" x14ac:dyDescent="0.2">
      <c r="A163" s="148" t="s">
        <v>249</v>
      </c>
      <c r="B163" s="129" t="s">
        <v>504</v>
      </c>
      <c r="C163" s="162">
        <f>SUM('6511 Expenditures'!E168)</f>
        <v>8000</v>
      </c>
      <c r="D163" s="162">
        <f>SUM('6511 Expenditures'!F168)</f>
        <v>8000</v>
      </c>
      <c r="E163" s="162">
        <f>SUM('6511 Expenditures'!G168)</f>
        <v>15000</v>
      </c>
      <c r="F163" s="162">
        <f>SUM('6511 Expenditures'!H168)</f>
        <v>15750</v>
      </c>
      <c r="G163" s="162">
        <f>SUM('6511 Expenditures'!I168)</f>
        <v>16537.5</v>
      </c>
      <c r="H163" s="162">
        <f>SUM('6511 Expenditures'!J168)</f>
        <v>17364.375</v>
      </c>
      <c r="I163" s="162">
        <f>SUM('6511 Expenditures'!K168)</f>
        <v>18232.59375</v>
      </c>
      <c r="J163" s="162">
        <f>SUM('6511 Expenditures'!L168)</f>
        <v>19144.223437500001</v>
      </c>
    </row>
    <row r="164" spans="1:10" ht="15" x14ac:dyDescent="0.2">
      <c r="A164" s="148" t="s">
        <v>250</v>
      </c>
      <c r="B164" s="129" t="s">
        <v>505</v>
      </c>
      <c r="C164" s="162">
        <f>SUM('6511 Expenditures'!E171)</f>
        <v>2000</v>
      </c>
      <c r="D164" s="162">
        <f>SUM('6511 Expenditures'!F171)</f>
        <v>1000</v>
      </c>
      <c r="E164" s="162">
        <f>SUM('6511 Expenditures'!G171)</f>
        <v>5000</v>
      </c>
      <c r="F164" s="162">
        <f>SUM('6511 Expenditures'!H171)</f>
        <v>5000</v>
      </c>
      <c r="G164" s="162">
        <f>SUM('6511 Expenditures'!I171)</f>
        <v>5000</v>
      </c>
      <c r="H164" s="162">
        <f>SUM('6511 Expenditures'!J171)</f>
        <v>5000</v>
      </c>
      <c r="I164" s="162">
        <f>SUM('6511 Expenditures'!K171)</f>
        <v>2000</v>
      </c>
      <c r="J164" s="162">
        <f>SUM('6511 Expenditures'!L171)</f>
        <v>2000</v>
      </c>
    </row>
    <row r="165" spans="1:10" ht="15" x14ac:dyDescent="0.25">
      <c r="A165" s="148"/>
      <c r="B165" s="171" t="s">
        <v>516</v>
      </c>
      <c r="C165" s="195">
        <f t="shared" ref="C165:J165" si="20">SUM(C163:C164)</f>
        <v>10000</v>
      </c>
      <c r="D165" s="195">
        <f t="shared" si="20"/>
        <v>9000</v>
      </c>
      <c r="E165" s="195">
        <f t="shared" si="20"/>
        <v>20000</v>
      </c>
      <c r="F165" s="195">
        <f t="shared" si="20"/>
        <v>20750</v>
      </c>
      <c r="G165" s="195">
        <f t="shared" si="20"/>
        <v>21537.5</v>
      </c>
      <c r="H165" s="195">
        <f t="shared" si="20"/>
        <v>22364.375</v>
      </c>
      <c r="I165" s="195">
        <f t="shared" si="20"/>
        <v>20232.59375</v>
      </c>
      <c r="J165" s="195">
        <f t="shared" si="20"/>
        <v>21144.223437500001</v>
      </c>
    </row>
    <row r="166" spans="1:10" ht="15" x14ac:dyDescent="0.2">
      <c r="A166" s="135"/>
      <c r="B166" s="156"/>
      <c r="C166" s="86"/>
      <c r="D166" s="86"/>
      <c r="E166" s="86"/>
      <c r="F166" s="86"/>
      <c r="G166" s="86"/>
      <c r="H166" s="86"/>
      <c r="I166" s="86"/>
      <c r="J166" s="86"/>
    </row>
    <row r="167" spans="1:10" ht="15" x14ac:dyDescent="0.2">
      <c r="A167" s="135" t="s">
        <v>506</v>
      </c>
      <c r="B167" s="156"/>
      <c r="C167" s="86"/>
      <c r="D167" s="86"/>
      <c r="E167" s="86"/>
      <c r="F167" s="86"/>
      <c r="G167" s="86"/>
      <c r="H167" s="86"/>
      <c r="I167" s="86"/>
      <c r="J167" s="86"/>
    </row>
    <row r="168" spans="1:10" ht="15" x14ac:dyDescent="0.2">
      <c r="A168" s="148" t="s">
        <v>251</v>
      </c>
      <c r="B168" s="129" t="s">
        <v>186</v>
      </c>
      <c r="C168" s="162">
        <f>SUM('6511 Expenditures'!E174)</f>
        <v>2500</v>
      </c>
      <c r="D168" s="162">
        <f>SUM('6511 Expenditures'!F174)</f>
        <v>2500</v>
      </c>
      <c r="E168" s="162">
        <f>SUM('6511 Expenditures'!G174)</f>
        <v>0</v>
      </c>
      <c r="F168" s="162">
        <f>SUM('6511 Expenditures'!H174)</f>
        <v>5000</v>
      </c>
      <c r="G168" s="162">
        <f>SUM('6511 Expenditures'!I174)</f>
        <v>0</v>
      </c>
      <c r="H168" s="162">
        <f>SUM('6511 Expenditures'!J174)</f>
        <v>0</v>
      </c>
      <c r="I168" s="162">
        <f>SUM('6511 Expenditures'!K174)</f>
        <v>5000</v>
      </c>
      <c r="J168" s="162">
        <f>SUM('6511 Expenditures'!L174)</f>
        <v>0</v>
      </c>
    </row>
    <row r="169" spans="1:10" ht="15" x14ac:dyDescent="0.25">
      <c r="A169" s="148"/>
      <c r="B169" s="171" t="s">
        <v>516</v>
      </c>
      <c r="C169" s="195">
        <f t="shared" ref="C169:J169" si="21">SUM(C168)</f>
        <v>2500</v>
      </c>
      <c r="D169" s="195">
        <f t="shared" si="21"/>
        <v>2500</v>
      </c>
      <c r="E169" s="195">
        <f t="shared" si="21"/>
        <v>0</v>
      </c>
      <c r="F169" s="195">
        <f t="shared" si="21"/>
        <v>5000</v>
      </c>
      <c r="G169" s="195">
        <f t="shared" si="21"/>
        <v>0</v>
      </c>
      <c r="H169" s="195">
        <f t="shared" si="21"/>
        <v>0</v>
      </c>
      <c r="I169" s="195">
        <f t="shared" si="21"/>
        <v>5000</v>
      </c>
      <c r="J169" s="195">
        <f t="shared" si="21"/>
        <v>0</v>
      </c>
    </row>
    <row r="170" spans="1:10" ht="15" x14ac:dyDescent="0.2">
      <c r="A170" s="135"/>
      <c r="B170" s="156"/>
      <c r="C170" s="86"/>
      <c r="D170" s="86"/>
      <c r="E170" s="86"/>
      <c r="F170" s="86"/>
      <c r="G170" s="86"/>
      <c r="H170" s="86"/>
      <c r="I170" s="86"/>
      <c r="J170" s="86"/>
    </row>
    <row r="171" spans="1:10" ht="15" x14ac:dyDescent="0.2">
      <c r="A171" s="135" t="s">
        <v>507</v>
      </c>
      <c r="B171" s="129"/>
      <c r="C171" s="86"/>
      <c r="D171" s="86"/>
      <c r="E171" s="86"/>
      <c r="F171" s="86"/>
      <c r="G171" s="86"/>
      <c r="H171" s="86"/>
      <c r="I171" s="86"/>
      <c r="J171" s="86"/>
    </row>
    <row r="172" spans="1:10" ht="15" x14ac:dyDescent="0.2">
      <c r="A172" s="148" t="s">
        <v>252</v>
      </c>
      <c r="B172" s="129" t="s">
        <v>170</v>
      </c>
      <c r="C172" s="162">
        <f>SUM('6511 Expenditures'!E179)</f>
        <v>2000</v>
      </c>
      <c r="D172" s="162">
        <f>SUM('6511 Expenditures'!F179)</f>
        <v>2000</v>
      </c>
      <c r="E172" s="162">
        <f>SUM('6511 Expenditures'!G179)</f>
        <v>2500</v>
      </c>
      <c r="F172" s="162">
        <f>SUM('6511 Expenditures'!H179)</f>
        <v>0</v>
      </c>
      <c r="G172" s="162">
        <f>SUM('6511 Expenditures'!I179)</f>
        <v>3000</v>
      </c>
      <c r="H172" s="162">
        <f>SUM('6511 Expenditures'!J179)</f>
        <v>0</v>
      </c>
      <c r="I172" s="162">
        <f>SUM('6511 Expenditures'!K179)</f>
        <v>3600</v>
      </c>
      <c r="J172" s="162">
        <f>SUM('6511 Expenditures'!L179)</f>
        <v>0</v>
      </c>
    </row>
    <row r="173" spans="1:10" ht="30" x14ac:dyDescent="0.2">
      <c r="A173" s="148" t="s">
        <v>253</v>
      </c>
      <c r="B173" s="129" t="s">
        <v>184</v>
      </c>
      <c r="C173" s="162">
        <f>SUM('6511 Expenditures'!E180)</f>
        <v>18000</v>
      </c>
      <c r="D173" s="162">
        <f>SUM('6511 Expenditures'!F180)</f>
        <v>35000</v>
      </c>
      <c r="E173" s="162">
        <f>SUM('6511 Expenditures'!G180)</f>
        <v>70000</v>
      </c>
      <c r="F173" s="162">
        <f>SUM('6511 Expenditures'!H180)</f>
        <v>35000</v>
      </c>
      <c r="G173" s="162">
        <f>SUM('6511 Expenditures'!I180)</f>
        <v>77000</v>
      </c>
      <c r="H173" s="162">
        <f>SUM('6511 Expenditures'!J180)</f>
        <v>38500</v>
      </c>
      <c r="I173" s="162">
        <f>SUM('6511 Expenditures'!K180)</f>
        <v>84700</v>
      </c>
      <c r="J173" s="162">
        <f>SUM('6511 Expenditures'!L180)</f>
        <v>42350</v>
      </c>
    </row>
    <row r="174" spans="1:10" ht="15" x14ac:dyDescent="0.25">
      <c r="A174" s="148"/>
      <c r="B174" s="171" t="s">
        <v>516</v>
      </c>
      <c r="C174" s="195">
        <f t="shared" ref="C174:J174" si="22">SUM(C172:C173)</f>
        <v>20000</v>
      </c>
      <c r="D174" s="195">
        <f t="shared" si="22"/>
        <v>37000</v>
      </c>
      <c r="E174" s="195">
        <f t="shared" si="22"/>
        <v>72500</v>
      </c>
      <c r="F174" s="195">
        <f t="shared" si="22"/>
        <v>35000</v>
      </c>
      <c r="G174" s="195">
        <f t="shared" si="22"/>
        <v>80000</v>
      </c>
      <c r="H174" s="195">
        <f t="shared" si="22"/>
        <v>38500</v>
      </c>
      <c r="I174" s="195">
        <f t="shared" si="22"/>
        <v>88300</v>
      </c>
      <c r="J174" s="195">
        <f t="shared" si="22"/>
        <v>42350</v>
      </c>
    </row>
    <row r="175" spans="1:10" ht="15" x14ac:dyDescent="0.2">
      <c r="A175" s="148"/>
      <c r="B175" s="129"/>
      <c r="C175" s="86"/>
      <c r="D175" s="86"/>
      <c r="E175" s="86"/>
      <c r="F175" s="86"/>
      <c r="G175" s="86"/>
      <c r="H175" s="86"/>
      <c r="I175" s="86"/>
      <c r="J175" s="86"/>
    </row>
    <row r="176" spans="1:10" ht="15" x14ac:dyDescent="0.2">
      <c r="A176" s="135" t="s">
        <v>508</v>
      </c>
      <c r="B176" s="129"/>
      <c r="C176" s="86"/>
      <c r="D176" s="86"/>
      <c r="E176" s="86"/>
      <c r="F176" s="86"/>
      <c r="G176" s="86"/>
      <c r="H176" s="86"/>
      <c r="I176" s="86"/>
      <c r="J176" s="86"/>
    </row>
    <row r="177" spans="1:11" ht="15" x14ac:dyDescent="0.2">
      <c r="A177" s="148" t="s">
        <v>254</v>
      </c>
      <c r="B177" s="129" t="s">
        <v>187</v>
      </c>
      <c r="C177" s="162">
        <f>SUM('6511 Expenditures'!E183)</f>
        <v>6000</v>
      </c>
      <c r="D177" s="162">
        <f>SUM('6511 Expenditures'!F183)</f>
        <v>4000</v>
      </c>
      <c r="E177" s="162">
        <f>SUM('6511 Expenditures'!G183)</f>
        <v>5000</v>
      </c>
      <c r="F177" s="162">
        <f>SUM('6511 Expenditures'!H183)</f>
        <v>5250</v>
      </c>
      <c r="G177" s="162">
        <f>SUM('6511 Expenditures'!I183)</f>
        <v>5512.5</v>
      </c>
      <c r="H177" s="162">
        <f>SUM('6511 Expenditures'!J183)</f>
        <v>5788.125</v>
      </c>
      <c r="I177" s="162">
        <f>SUM('6511 Expenditures'!K183)</f>
        <v>6077.53125</v>
      </c>
      <c r="J177" s="162">
        <f>SUM('6511 Expenditures'!L183)</f>
        <v>6381.4078125000005</v>
      </c>
    </row>
    <row r="178" spans="1:11" ht="15" x14ac:dyDescent="0.2">
      <c r="A178" s="148" t="s">
        <v>255</v>
      </c>
      <c r="B178" s="129" t="s">
        <v>188</v>
      </c>
      <c r="C178" s="162">
        <f>SUM('6511 Expenditures'!E186)</f>
        <v>1000</v>
      </c>
      <c r="D178" s="162">
        <f>SUM('6511 Expenditures'!F186)</f>
        <v>20000</v>
      </c>
      <c r="E178" s="162">
        <f>SUM('6511 Expenditures'!G186)</f>
        <v>10000</v>
      </c>
      <c r="F178" s="162">
        <f>SUM('6511 Expenditures'!H186)</f>
        <v>5000</v>
      </c>
      <c r="G178" s="162">
        <f>SUM('6511 Expenditures'!I186)</f>
        <v>5000</v>
      </c>
      <c r="H178" s="162">
        <f>SUM('6511 Expenditures'!J186)</f>
        <v>5000</v>
      </c>
      <c r="I178" s="162">
        <f>SUM('6511 Expenditures'!K186)</f>
        <v>5000</v>
      </c>
      <c r="J178" s="162">
        <f>SUM('6511 Expenditures'!L186)</f>
        <v>5000</v>
      </c>
    </row>
    <row r="179" spans="1:11" ht="15" x14ac:dyDescent="0.25">
      <c r="A179" s="148"/>
      <c r="B179" s="171" t="s">
        <v>516</v>
      </c>
      <c r="C179" s="195">
        <f t="shared" ref="C179:J179" si="23">SUM(C177:C178)</f>
        <v>7000</v>
      </c>
      <c r="D179" s="195">
        <f t="shared" si="23"/>
        <v>24000</v>
      </c>
      <c r="E179" s="195">
        <f t="shared" si="23"/>
        <v>15000</v>
      </c>
      <c r="F179" s="195">
        <f t="shared" si="23"/>
        <v>10250</v>
      </c>
      <c r="G179" s="195">
        <f t="shared" si="23"/>
        <v>10512.5</v>
      </c>
      <c r="H179" s="195">
        <f t="shared" si="23"/>
        <v>10788.125</v>
      </c>
      <c r="I179" s="195">
        <f t="shared" si="23"/>
        <v>11077.53125</v>
      </c>
      <c r="J179" s="195">
        <f t="shared" si="23"/>
        <v>11381.407812500001</v>
      </c>
    </row>
    <row r="180" spans="1:11" ht="15" x14ac:dyDescent="0.2">
      <c r="A180" s="135"/>
      <c r="B180" s="156"/>
      <c r="C180" s="86"/>
      <c r="D180" s="86"/>
      <c r="E180" s="86"/>
      <c r="F180" s="86"/>
      <c r="G180" s="86"/>
      <c r="H180" s="86"/>
      <c r="I180" s="86"/>
      <c r="J180" s="86"/>
    </row>
    <row r="181" spans="1:11" ht="15" x14ac:dyDescent="0.2">
      <c r="A181" s="135" t="s">
        <v>509</v>
      </c>
      <c r="B181" s="129"/>
      <c r="C181" s="86"/>
      <c r="D181" s="86"/>
      <c r="E181" s="86"/>
      <c r="F181" s="86"/>
      <c r="G181" s="86"/>
      <c r="H181" s="86"/>
      <c r="I181" s="86"/>
      <c r="J181" s="86"/>
    </row>
    <row r="182" spans="1:11" ht="15" x14ac:dyDescent="0.2">
      <c r="A182" s="149" t="s">
        <v>256</v>
      </c>
      <c r="B182" s="129" t="s">
        <v>510</v>
      </c>
      <c r="C182" s="162">
        <f>SUM('6511 Expenditures'!E192)</f>
        <v>4900</v>
      </c>
      <c r="D182" s="162">
        <f>SUM('6511 Expenditures'!F192)</f>
        <v>4900</v>
      </c>
      <c r="E182" s="162">
        <f>SUM('6511 Expenditures'!G192)</f>
        <v>5145</v>
      </c>
      <c r="F182" s="162">
        <f>SUM('6511 Expenditures'!H192)</f>
        <v>5402.25</v>
      </c>
      <c r="G182" s="162">
        <f>SUM('6511 Expenditures'!I192)</f>
        <v>5672.3625000000002</v>
      </c>
      <c r="H182" s="162">
        <f>SUM('6511 Expenditures'!J192)</f>
        <v>5955.9806250000001</v>
      </c>
      <c r="I182" s="162">
        <f>SUM('6511 Expenditures'!K192)</f>
        <v>6253.7796562500007</v>
      </c>
      <c r="J182" s="162">
        <f>SUM('6511 Expenditures'!L192)</f>
        <v>6566.4686390625011</v>
      </c>
    </row>
    <row r="183" spans="1:11" ht="15" x14ac:dyDescent="0.25">
      <c r="A183" s="149"/>
      <c r="B183" s="171" t="s">
        <v>516</v>
      </c>
      <c r="C183" s="195">
        <f t="shared" ref="C183:J183" si="24">SUM(C182)</f>
        <v>4900</v>
      </c>
      <c r="D183" s="195">
        <f t="shared" si="24"/>
        <v>4900</v>
      </c>
      <c r="E183" s="195">
        <f t="shared" si="24"/>
        <v>5145</v>
      </c>
      <c r="F183" s="195">
        <f t="shared" si="24"/>
        <v>5402.25</v>
      </c>
      <c r="G183" s="195">
        <f t="shared" si="24"/>
        <v>5672.3625000000002</v>
      </c>
      <c r="H183" s="195">
        <f t="shared" si="24"/>
        <v>5955.9806250000001</v>
      </c>
      <c r="I183" s="195">
        <f t="shared" si="24"/>
        <v>6253.7796562500007</v>
      </c>
      <c r="J183" s="195">
        <f t="shared" si="24"/>
        <v>6566.4686390625011</v>
      </c>
    </row>
    <row r="184" spans="1:11" ht="15" x14ac:dyDescent="0.2">
      <c r="A184" s="148"/>
      <c r="B184" s="129"/>
      <c r="C184" s="86"/>
      <c r="D184" s="86"/>
      <c r="E184" s="86"/>
      <c r="F184" s="86"/>
      <c r="G184" s="86"/>
      <c r="H184" s="86"/>
      <c r="I184" s="86"/>
      <c r="J184" s="86"/>
    </row>
    <row r="185" spans="1:11" ht="15" x14ac:dyDescent="0.2">
      <c r="A185" s="135" t="s">
        <v>511</v>
      </c>
      <c r="B185" s="129"/>
      <c r="C185" s="86"/>
      <c r="D185" s="86"/>
      <c r="E185" s="86"/>
      <c r="F185" s="86"/>
      <c r="G185" s="86"/>
      <c r="H185" s="86"/>
      <c r="I185" s="86"/>
      <c r="J185" s="86"/>
    </row>
    <row r="186" spans="1:11" ht="15" x14ac:dyDescent="0.2">
      <c r="A186" s="148" t="s">
        <v>257</v>
      </c>
      <c r="B186" s="129" t="s">
        <v>48</v>
      </c>
      <c r="C186" s="162">
        <f>SUM('6511 Expenditures'!E195)</f>
        <v>12000</v>
      </c>
      <c r="D186" s="162">
        <f>SUM('6511 Expenditures'!F195)</f>
        <v>12000</v>
      </c>
      <c r="E186" s="162">
        <f>SUM('6511 Expenditures'!G195)</f>
        <v>12240</v>
      </c>
      <c r="F186" s="162">
        <f>SUM('6511 Expenditures'!H195)</f>
        <v>12484.800000000001</v>
      </c>
      <c r="G186" s="162">
        <f>SUM('6511 Expenditures'!I195)</f>
        <v>12734.496000000001</v>
      </c>
      <c r="H186" s="162">
        <f>SUM('6511 Expenditures'!J195)</f>
        <v>12989.185920000002</v>
      </c>
      <c r="I186" s="162">
        <f>SUM('6511 Expenditures'!K195)</f>
        <v>13248.969638400002</v>
      </c>
      <c r="J186" s="162">
        <f>SUM('6511 Expenditures'!L195)</f>
        <v>13513.949031168002</v>
      </c>
    </row>
    <row r="187" spans="1:11" ht="15" x14ac:dyDescent="0.2">
      <c r="A187" s="148" t="s">
        <v>258</v>
      </c>
      <c r="B187" s="129" t="s">
        <v>189</v>
      </c>
      <c r="C187" s="162">
        <f>SUM('6511 Expenditures'!E196)</f>
        <v>7000</v>
      </c>
      <c r="D187" s="162">
        <f>SUM('6511 Expenditures'!F196)</f>
        <v>7000</v>
      </c>
      <c r="E187" s="162">
        <f>SUM('6511 Expenditures'!G196)</f>
        <v>7140</v>
      </c>
      <c r="F187" s="162">
        <f>SUM('6511 Expenditures'!H196)</f>
        <v>7282.8</v>
      </c>
      <c r="G187" s="162">
        <f>SUM('6511 Expenditures'!I196)</f>
        <v>7428.4560000000001</v>
      </c>
      <c r="H187" s="162">
        <f>SUM('6511 Expenditures'!J196)</f>
        <v>7577.0251200000002</v>
      </c>
      <c r="I187" s="162">
        <f>SUM('6511 Expenditures'!K196)</f>
        <v>7728.5656224000004</v>
      </c>
      <c r="J187" s="162">
        <f>SUM('6511 Expenditures'!L196)</f>
        <v>7883.1369348480002</v>
      </c>
    </row>
    <row r="188" spans="1:11" ht="15" x14ac:dyDescent="0.2">
      <c r="A188" s="148" t="s">
        <v>259</v>
      </c>
      <c r="B188" s="129" t="s">
        <v>50</v>
      </c>
      <c r="C188" s="162">
        <f>SUM('6511 Expenditures'!E197)</f>
        <v>2800</v>
      </c>
      <c r="D188" s="162">
        <f>SUM('6511 Expenditures'!F197)</f>
        <v>2800</v>
      </c>
      <c r="E188" s="162">
        <f>SUM('6511 Expenditures'!G197)</f>
        <v>2856</v>
      </c>
      <c r="F188" s="162">
        <f>SUM('6511 Expenditures'!H197)</f>
        <v>2913.12</v>
      </c>
      <c r="G188" s="162">
        <f>SUM('6511 Expenditures'!I197)</f>
        <v>2971.3824</v>
      </c>
      <c r="H188" s="162">
        <f>SUM('6511 Expenditures'!J197)</f>
        <v>3030.8100479999998</v>
      </c>
      <c r="I188" s="162">
        <f>SUM('6511 Expenditures'!K197)</f>
        <v>3091.4262489600001</v>
      </c>
      <c r="J188" s="162">
        <f>SUM('6511 Expenditures'!L197)</f>
        <v>3153.2547739392003</v>
      </c>
    </row>
    <row r="189" spans="1:11" ht="15" x14ac:dyDescent="0.25">
      <c r="A189" s="148"/>
      <c r="B189" s="171" t="s">
        <v>516</v>
      </c>
      <c r="C189" s="195">
        <f t="shared" ref="C189:J189" si="25">SUM(C186:C188)</f>
        <v>21800</v>
      </c>
      <c r="D189" s="195">
        <f t="shared" si="25"/>
        <v>21800</v>
      </c>
      <c r="E189" s="195">
        <f t="shared" si="25"/>
        <v>22236</v>
      </c>
      <c r="F189" s="195">
        <f t="shared" si="25"/>
        <v>22680.720000000001</v>
      </c>
      <c r="G189" s="195">
        <f t="shared" si="25"/>
        <v>23134.3344</v>
      </c>
      <c r="H189" s="195">
        <f t="shared" si="25"/>
        <v>23597.021088000001</v>
      </c>
      <c r="I189" s="195">
        <f t="shared" si="25"/>
        <v>24068.961509760004</v>
      </c>
      <c r="J189" s="195">
        <f t="shared" si="25"/>
        <v>24550.340739955202</v>
      </c>
      <c r="K189" s="285"/>
    </row>
    <row r="190" spans="1:11" ht="15" x14ac:dyDescent="0.2">
      <c r="A190" s="135"/>
      <c r="B190" s="156"/>
      <c r="C190" s="86"/>
      <c r="D190" s="86"/>
      <c r="E190" s="86"/>
      <c r="F190" s="86"/>
      <c r="G190" s="86"/>
      <c r="H190" s="86"/>
      <c r="I190" s="86"/>
      <c r="J190" s="86"/>
    </row>
    <row r="191" spans="1:11" ht="15" x14ac:dyDescent="0.2">
      <c r="A191" s="135" t="s">
        <v>512</v>
      </c>
      <c r="B191" s="156"/>
      <c r="C191" s="86"/>
      <c r="D191" s="86"/>
      <c r="E191" s="86"/>
      <c r="F191" s="86"/>
      <c r="G191" s="86"/>
      <c r="H191" s="86"/>
      <c r="I191" s="86"/>
      <c r="J191" s="86"/>
    </row>
    <row r="192" spans="1:11" ht="15" x14ac:dyDescent="0.2">
      <c r="A192" s="148" t="s">
        <v>260</v>
      </c>
      <c r="B192" s="129" t="s">
        <v>198</v>
      </c>
      <c r="C192" s="162">
        <f>SUM('6511 Expenditures'!E200)</f>
        <v>10000</v>
      </c>
      <c r="D192" s="162">
        <f>SUM('6511 Expenditures'!F200)</f>
        <v>10000</v>
      </c>
      <c r="E192" s="162">
        <f>SUM('6511 Expenditures'!G200)</f>
        <v>10300</v>
      </c>
      <c r="F192" s="162">
        <f>SUM('6511 Expenditures'!H200)</f>
        <v>10609</v>
      </c>
      <c r="G192" s="162">
        <f>SUM('6511 Expenditures'!I200)</f>
        <v>10927.27</v>
      </c>
      <c r="H192" s="162">
        <f>SUM('6511 Expenditures'!J200)</f>
        <v>11255.088100000001</v>
      </c>
      <c r="I192" s="162">
        <f>SUM('6511 Expenditures'!K200)</f>
        <v>11592.740743</v>
      </c>
      <c r="J192" s="162">
        <f>SUM('6511 Expenditures'!L200)</f>
        <v>11940.52296529</v>
      </c>
    </row>
    <row r="193" spans="1:11" ht="15" x14ac:dyDescent="0.25">
      <c r="A193" s="148"/>
      <c r="B193" s="171" t="s">
        <v>516</v>
      </c>
      <c r="C193" s="195">
        <f t="shared" ref="C193:J193" si="26">SUM(C192)</f>
        <v>10000</v>
      </c>
      <c r="D193" s="195">
        <f t="shared" si="26"/>
        <v>10000</v>
      </c>
      <c r="E193" s="195">
        <f t="shared" si="26"/>
        <v>10300</v>
      </c>
      <c r="F193" s="195">
        <f t="shared" si="26"/>
        <v>10609</v>
      </c>
      <c r="G193" s="195">
        <f t="shared" si="26"/>
        <v>10927.27</v>
      </c>
      <c r="H193" s="195">
        <f t="shared" si="26"/>
        <v>11255.088100000001</v>
      </c>
      <c r="I193" s="195">
        <f t="shared" si="26"/>
        <v>11592.740743</v>
      </c>
      <c r="J193" s="195">
        <f t="shared" si="26"/>
        <v>11940.52296529</v>
      </c>
      <c r="K193" s="285"/>
    </row>
    <row r="194" spans="1:11" ht="15" x14ac:dyDescent="0.2">
      <c r="A194" s="148"/>
      <c r="B194" s="129"/>
      <c r="C194" s="86"/>
      <c r="D194" s="86"/>
      <c r="E194" s="86"/>
      <c r="F194" s="86"/>
      <c r="G194" s="86"/>
      <c r="H194" s="86"/>
      <c r="I194" s="86"/>
      <c r="J194" s="86"/>
    </row>
    <row r="195" spans="1:11" ht="15" x14ac:dyDescent="0.2">
      <c r="A195" s="135" t="s">
        <v>513</v>
      </c>
      <c r="B195" s="129"/>
      <c r="C195" s="86"/>
      <c r="D195" s="86"/>
      <c r="E195" s="86"/>
      <c r="F195" s="86"/>
      <c r="G195" s="86"/>
      <c r="H195" s="86"/>
      <c r="I195" s="86"/>
      <c r="J195" s="86"/>
    </row>
    <row r="196" spans="1:11" ht="15" x14ac:dyDescent="0.2">
      <c r="A196" s="148" t="s">
        <v>261</v>
      </c>
      <c r="B196" s="129" t="s">
        <v>183</v>
      </c>
      <c r="C196" s="162">
        <f>SUM('6511 Expenditures'!E203)</f>
        <v>22000</v>
      </c>
      <c r="D196" s="162">
        <f>SUM('6511 Expenditures'!F203)</f>
        <v>22000</v>
      </c>
      <c r="E196" s="162">
        <f>SUM('6511 Expenditures'!G203)</f>
        <v>25000</v>
      </c>
      <c r="F196" s="162">
        <f>SUM('6511 Expenditures'!H203)</f>
        <v>30000</v>
      </c>
      <c r="G196" s="162">
        <f>SUM('6511 Expenditures'!I203)</f>
        <v>25000</v>
      </c>
      <c r="H196" s="162">
        <f>SUM('6511 Expenditures'!J203)</f>
        <v>25000</v>
      </c>
      <c r="I196" s="162">
        <f>SUM('6511 Expenditures'!K203)</f>
        <v>25000</v>
      </c>
      <c r="J196" s="162">
        <f>SUM('6511 Expenditures'!L203)</f>
        <v>25000</v>
      </c>
    </row>
    <row r="197" spans="1:11" ht="15" x14ac:dyDescent="0.2">
      <c r="A197" s="141" t="s">
        <v>329</v>
      </c>
      <c r="B197" s="129" t="s">
        <v>554</v>
      </c>
      <c r="C197" s="162">
        <f>SUM('6511 Expenditures'!E206)</f>
        <v>0</v>
      </c>
      <c r="D197" s="162">
        <f>SUM('6511 Expenditures'!F206)</f>
        <v>0</v>
      </c>
      <c r="E197" s="162">
        <f>SUM('6511 Expenditures'!G206)</f>
        <v>0</v>
      </c>
      <c r="F197" s="162">
        <f>SUM('6511 Expenditures'!H206)</f>
        <v>0</v>
      </c>
      <c r="G197" s="162">
        <f>SUM('6511 Expenditures'!I206)</f>
        <v>0</v>
      </c>
      <c r="H197" s="162">
        <f>SUM('6511 Expenditures'!J206)</f>
        <v>0</v>
      </c>
      <c r="I197" s="162">
        <f>SUM('6511 Expenditures'!K206)</f>
        <v>0</v>
      </c>
      <c r="J197" s="162">
        <f>SUM('6511 Expenditures'!L206)</f>
        <v>0</v>
      </c>
    </row>
    <row r="198" spans="1:11" ht="15" x14ac:dyDescent="0.2">
      <c r="A198" s="149" t="s">
        <v>262</v>
      </c>
      <c r="B198" s="129" t="s">
        <v>551</v>
      </c>
      <c r="C198" s="162">
        <f>SUM('6511 Expenditures'!E209)</f>
        <v>4000</v>
      </c>
      <c r="D198" s="162">
        <f>SUM('6511 Expenditures'!F209)</f>
        <v>12000</v>
      </c>
      <c r="E198" s="162">
        <f>SUM('6511 Expenditures'!G209)</f>
        <v>7000</v>
      </c>
      <c r="F198" s="162">
        <f>SUM('6511 Expenditures'!H209)</f>
        <v>6000</v>
      </c>
      <c r="G198" s="162">
        <f>SUM('6511 Expenditures'!I209)</f>
        <v>8500</v>
      </c>
      <c r="H198" s="162">
        <f>SUM('6511 Expenditures'!J209)</f>
        <v>7000</v>
      </c>
      <c r="I198" s="162">
        <f>SUM('6511 Expenditures'!K209)</f>
        <v>7000</v>
      </c>
      <c r="J198" s="162">
        <f>SUM('6511 Expenditures'!L209)</f>
        <v>7000</v>
      </c>
    </row>
    <row r="199" spans="1:11" ht="15" x14ac:dyDescent="0.2">
      <c r="A199" s="149" t="s">
        <v>555</v>
      </c>
      <c r="B199" s="129" t="s">
        <v>556</v>
      </c>
      <c r="C199" s="162">
        <f>'6511 Expenditures'!E210</f>
        <v>2000</v>
      </c>
      <c r="D199" s="162">
        <f>'6511 Expenditures'!F210</f>
        <v>500</v>
      </c>
      <c r="E199" s="162">
        <f>'6511 Expenditures'!G210</f>
        <v>0</v>
      </c>
      <c r="F199" s="162">
        <f>'6511 Expenditures'!H210</f>
        <v>0</v>
      </c>
      <c r="G199" s="162">
        <f>'6511 Expenditures'!I210</f>
        <v>0</v>
      </c>
      <c r="H199" s="162">
        <f>'6511 Expenditures'!J210</f>
        <v>0</v>
      </c>
      <c r="I199" s="162">
        <f>'6511 Expenditures'!K210</f>
        <v>0</v>
      </c>
      <c r="J199" s="162">
        <f>'6511 Expenditures'!L210</f>
        <v>0</v>
      </c>
    </row>
    <row r="200" spans="1:11" ht="15" x14ac:dyDescent="0.2">
      <c r="A200" s="141" t="s">
        <v>263</v>
      </c>
      <c r="B200" s="129" t="s">
        <v>552</v>
      </c>
      <c r="C200" s="162">
        <f>SUM('6511 Expenditures'!E211)</f>
        <v>5000</v>
      </c>
      <c r="D200" s="162">
        <f>SUM('6511 Expenditures'!F211)</f>
        <v>2500</v>
      </c>
      <c r="E200" s="162">
        <f>SUM('6511 Expenditures'!G211)</f>
        <v>0</v>
      </c>
      <c r="F200" s="162">
        <f>SUM('6511 Expenditures'!H211)</f>
        <v>0</v>
      </c>
      <c r="G200" s="162">
        <f>SUM('6511 Expenditures'!I211)</f>
        <v>0</v>
      </c>
      <c r="H200" s="162">
        <f>SUM('6511 Expenditures'!J211)</f>
        <v>0</v>
      </c>
      <c r="I200" s="162">
        <f>SUM('6511 Expenditures'!K211)</f>
        <v>0</v>
      </c>
      <c r="J200" s="162">
        <f>SUM('6511 Expenditures'!L211)</f>
        <v>0</v>
      </c>
    </row>
    <row r="201" spans="1:11" ht="15" x14ac:dyDescent="0.2">
      <c r="A201" s="141" t="s">
        <v>264</v>
      </c>
      <c r="B201" s="287" t="s">
        <v>553</v>
      </c>
      <c r="C201" s="162">
        <f>SUM('6511 Expenditures'!E212)</f>
        <v>6000</v>
      </c>
      <c r="D201" s="162">
        <f>SUM('6511 Expenditures'!F212)</f>
        <v>6000</v>
      </c>
      <c r="E201" s="162">
        <f>SUM('6511 Expenditures'!G212)</f>
        <v>5000</v>
      </c>
      <c r="F201" s="162">
        <f>SUM('6511 Expenditures'!H212)</f>
        <v>5000</v>
      </c>
      <c r="G201" s="162">
        <f>SUM('6511 Expenditures'!I212)</f>
        <v>5000</v>
      </c>
      <c r="H201" s="162">
        <f>SUM('6511 Expenditures'!J212)</f>
        <v>5000</v>
      </c>
      <c r="I201" s="162">
        <f>SUM('6511 Expenditures'!K212)</f>
        <v>5000</v>
      </c>
      <c r="J201" s="162">
        <f>SUM('6511 Expenditures'!L212)</f>
        <v>5000</v>
      </c>
    </row>
    <row r="202" spans="1:11" ht="15" x14ac:dyDescent="0.25">
      <c r="A202" s="141"/>
      <c r="B202" s="171" t="s">
        <v>516</v>
      </c>
      <c r="C202" s="195">
        <f t="shared" ref="C202:J202" si="27">SUM(C196:C201)</f>
        <v>39000</v>
      </c>
      <c r="D202" s="195">
        <f t="shared" si="27"/>
        <v>43000</v>
      </c>
      <c r="E202" s="195">
        <f t="shared" si="27"/>
        <v>37000</v>
      </c>
      <c r="F202" s="195">
        <f t="shared" si="27"/>
        <v>41000</v>
      </c>
      <c r="G202" s="195">
        <f t="shared" si="27"/>
        <v>38500</v>
      </c>
      <c r="H202" s="195">
        <f t="shared" si="27"/>
        <v>37000</v>
      </c>
      <c r="I202" s="195">
        <f t="shared" si="27"/>
        <v>37000</v>
      </c>
      <c r="J202" s="195">
        <f t="shared" si="27"/>
        <v>37000</v>
      </c>
      <c r="K202" s="285"/>
    </row>
    <row r="203" spans="1:11" ht="15" x14ac:dyDescent="0.2">
      <c r="A203" s="140"/>
      <c r="B203" s="156"/>
      <c r="C203" s="86"/>
      <c r="D203" s="86"/>
      <c r="E203" s="86"/>
      <c r="F203" s="86"/>
      <c r="G203" s="86"/>
      <c r="H203" s="86"/>
      <c r="I203" s="86"/>
      <c r="J203" s="86"/>
    </row>
    <row r="204" spans="1:11" ht="15" x14ac:dyDescent="0.2">
      <c r="A204" s="140" t="s">
        <v>494</v>
      </c>
      <c r="B204" s="129"/>
      <c r="C204" s="86"/>
      <c r="D204" s="86"/>
      <c r="E204" s="86"/>
      <c r="F204" s="86"/>
      <c r="G204" s="86"/>
      <c r="H204" s="86"/>
      <c r="I204" s="86"/>
      <c r="J204" s="86"/>
    </row>
    <row r="205" spans="1:11" ht="15" x14ac:dyDescent="0.2">
      <c r="A205" s="153" t="s">
        <v>265</v>
      </c>
      <c r="B205" s="129" t="s">
        <v>185</v>
      </c>
      <c r="C205" s="162">
        <f>SUM('6511 Expenditures'!E218)</f>
        <v>4000</v>
      </c>
      <c r="D205" s="162">
        <f>SUM('6511 Expenditures'!F218)</f>
        <v>4000</v>
      </c>
      <c r="E205" s="162">
        <f>SUM('6511 Expenditures'!G218)</f>
        <v>4000</v>
      </c>
      <c r="F205" s="162">
        <f>SUM('6511 Expenditures'!H218)</f>
        <v>4000</v>
      </c>
      <c r="G205" s="162">
        <f>SUM('6511 Expenditures'!I218)</f>
        <v>4000</v>
      </c>
      <c r="H205" s="162">
        <f>SUM('6511 Expenditures'!J218)</f>
        <v>4000</v>
      </c>
      <c r="I205" s="162">
        <f>SUM('6511 Expenditures'!K218)</f>
        <v>4000</v>
      </c>
      <c r="J205" s="162">
        <f>SUM('6511 Expenditures'!L218)</f>
        <v>4000</v>
      </c>
    </row>
    <row r="206" spans="1:11" ht="15" x14ac:dyDescent="0.25">
      <c r="A206" s="153"/>
      <c r="B206" s="171" t="s">
        <v>516</v>
      </c>
      <c r="C206" s="195">
        <f t="shared" ref="C206:J206" si="28">SUM(C205)</f>
        <v>4000</v>
      </c>
      <c r="D206" s="195">
        <f t="shared" si="28"/>
        <v>4000</v>
      </c>
      <c r="E206" s="195">
        <f t="shared" si="28"/>
        <v>4000</v>
      </c>
      <c r="F206" s="195">
        <f t="shared" si="28"/>
        <v>4000</v>
      </c>
      <c r="G206" s="195">
        <f t="shared" si="28"/>
        <v>4000</v>
      </c>
      <c r="H206" s="195">
        <f t="shared" si="28"/>
        <v>4000</v>
      </c>
      <c r="I206" s="195">
        <f t="shared" si="28"/>
        <v>4000</v>
      </c>
      <c r="J206" s="195">
        <f t="shared" si="28"/>
        <v>4000</v>
      </c>
      <c r="K206" s="285"/>
    </row>
    <row r="207" spans="1:11" ht="15" x14ac:dyDescent="0.2">
      <c r="A207" s="140"/>
      <c r="B207" s="129"/>
      <c r="C207" s="86"/>
      <c r="D207" s="86"/>
      <c r="E207" s="86"/>
      <c r="F207" s="86"/>
      <c r="G207" s="86"/>
      <c r="H207" s="86"/>
      <c r="I207" s="86"/>
      <c r="J207" s="86"/>
    </row>
    <row r="208" spans="1:11" ht="15" x14ac:dyDescent="0.2">
      <c r="A208" s="158" t="s">
        <v>514</v>
      </c>
      <c r="B208" s="165"/>
      <c r="C208" s="86"/>
      <c r="D208" s="86"/>
      <c r="E208" s="86"/>
      <c r="F208" s="86"/>
      <c r="G208" s="86"/>
      <c r="H208" s="86"/>
      <c r="I208" s="86"/>
      <c r="J208" s="86"/>
    </row>
    <row r="209" spans="1:10" ht="15" x14ac:dyDescent="0.25">
      <c r="A209" s="95" t="s">
        <v>549</v>
      </c>
      <c r="B209" s="159" t="s">
        <v>519</v>
      </c>
      <c r="C209" s="162">
        <f>SUM('6511 Expenditures'!D232,'6511 Expenditures'!E226)</f>
        <v>621209.88</v>
      </c>
      <c r="D209" s="162">
        <f>'6511 Expenditures'!F225</f>
        <v>0</v>
      </c>
      <c r="E209" s="162">
        <f>SUM('6511 Expenditures'!F232,'6511 Expenditures'!G226)</f>
        <v>0</v>
      </c>
      <c r="F209" s="162">
        <f>SUM('6511 Expenditures'!G232,'6511 Expenditures'!H226)</f>
        <v>0</v>
      </c>
      <c r="G209" s="162">
        <f>SUM('6511 Expenditures'!H232,'6511 Expenditures'!I226)</f>
        <v>0</v>
      </c>
      <c r="H209" s="162">
        <f>SUM('6511 Expenditures'!I232,'6511 Expenditures'!J226)</f>
        <v>0</v>
      </c>
      <c r="I209" s="162">
        <f>SUM('6511 Expenditures'!J232,'6511 Expenditures'!K226)</f>
        <v>0</v>
      </c>
      <c r="J209" s="162">
        <f>SUM('6511 Expenditures'!K232,'6511 Expenditures'!L226)</f>
        <v>0</v>
      </c>
    </row>
    <row r="210" spans="1:10" ht="15" x14ac:dyDescent="0.25">
      <c r="A210" s="95" t="s">
        <v>409</v>
      </c>
      <c r="B210" s="131" t="s">
        <v>410</v>
      </c>
      <c r="C210" s="162">
        <f>'6511 Expenditures'!E231</f>
        <v>9293.2000000000007</v>
      </c>
      <c r="D210" s="162">
        <f>'6511 Expenditures'!F231</f>
        <v>0</v>
      </c>
      <c r="E210" s="162">
        <f>'6511 Expenditures'!G231</f>
        <v>0</v>
      </c>
      <c r="F210" s="162">
        <f>'6511 Expenditures'!H231</f>
        <v>0</v>
      </c>
      <c r="G210" s="162">
        <f>'6511 Expenditures'!H231</f>
        <v>0</v>
      </c>
      <c r="H210" s="162">
        <f>'6511 Expenditures'!J231</f>
        <v>0</v>
      </c>
      <c r="I210" s="162">
        <f>'6511 Expenditures'!K231</f>
        <v>0</v>
      </c>
      <c r="J210" s="162">
        <f>'6511 Expenditures'!L231</f>
        <v>0</v>
      </c>
    </row>
    <row r="211" spans="1:10" ht="15" x14ac:dyDescent="0.25">
      <c r="A211" s="95" t="s">
        <v>412</v>
      </c>
      <c r="B211" s="131" t="s">
        <v>420</v>
      </c>
      <c r="C211" s="86">
        <v>0</v>
      </c>
      <c r="D211" s="102">
        <f>'6511 Expenditures'!F236</f>
        <v>17191</v>
      </c>
      <c r="E211" s="102">
        <f>'6511 Expenditures'!G235</f>
        <v>30000</v>
      </c>
      <c r="F211" s="102">
        <f>'6511 Expenditures'!H235</f>
        <v>30000</v>
      </c>
      <c r="G211" s="102">
        <f>'6511 Expenditures'!I235</f>
        <v>30000</v>
      </c>
      <c r="H211" s="102">
        <f>'6511 Expenditures'!J235</f>
        <v>30000</v>
      </c>
      <c r="I211" s="102">
        <f>'6511 Expenditures'!K235</f>
        <v>30000</v>
      </c>
      <c r="J211" s="102">
        <f>'6511 Expenditures'!L235</f>
        <v>0</v>
      </c>
    </row>
    <row r="212" spans="1:10" ht="15" x14ac:dyDescent="0.25">
      <c r="A212" s="95" t="s">
        <v>413</v>
      </c>
      <c r="B212" s="131" t="s">
        <v>419</v>
      </c>
      <c r="C212" s="162">
        <v>0</v>
      </c>
      <c r="D212" s="162">
        <v>0</v>
      </c>
      <c r="E212" s="162">
        <f>'6511 Expenditures'!G236</f>
        <v>30000</v>
      </c>
      <c r="F212" s="162">
        <f>'6511 Expenditures'!H236</f>
        <v>30000</v>
      </c>
      <c r="G212" s="162">
        <f>'6511 Expenditures'!I236</f>
        <v>30000</v>
      </c>
      <c r="H212" s="162">
        <f>'6511 Expenditures'!J236</f>
        <v>30000</v>
      </c>
      <c r="I212" s="162">
        <f>'6511 Expenditures'!K236</f>
        <v>30000</v>
      </c>
      <c r="J212" s="162">
        <f>'6511 Expenditures'!L236</f>
        <v>0</v>
      </c>
    </row>
    <row r="213" spans="1:10" ht="30" x14ac:dyDescent="0.2">
      <c r="A213" s="148" t="s">
        <v>515</v>
      </c>
      <c r="B213" s="160" t="s">
        <v>550</v>
      </c>
      <c r="C213" s="162">
        <f>SUM('6511 Expenditures'!E242)</f>
        <v>109000</v>
      </c>
      <c r="D213" s="162">
        <f>SUM('6511 Expenditures'!F242)</f>
        <v>91000</v>
      </c>
      <c r="E213" s="162">
        <f>SUM('6511 Expenditures'!G242)</f>
        <v>109000</v>
      </c>
      <c r="F213" s="162">
        <f>SUM('6511 Expenditures'!H242)</f>
        <v>109000</v>
      </c>
      <c r="G213" s="162">
        <f>SUM('6511 Expenditures'!I242)</f>
        <v>109000</v>
      </c>
      <c r="H213" s="162">
        <f>SUM('6511 Expenditures'!J242)</f>
        <v>79000</v>
      </c>
      <c r="I213" s="162">
        <f>SUM('6511 Expenditures'!K242)</f>
        <v>79000</v>
      </c>
      <c r="J213" s="162">
        <f>SUM('6511 Expenditures'!L242)</f>
        <v>79000</v>
      </c>
    </row>
    <row r="214" spans="1:10" ht="15" x14ac:dyDescent="0.25">
      <c r="A214" s="139"/>
      <c r="B214" s="171" t="s">
        <v>516</v>
      </c>
      <c r="C214" s="195">
        <f t="shared" ref="C214:J214" si="29">SUM(C209:C213)</f>
        <v>739503.08</v>
      </c>
      <c r="D214" s="195">
        <f t="shared" si="29"/>
        <v>108191</v>
      </c>
      <c r="E214" s="195">
        <f t="shared" si="29"/>
        <v>169000</v>
      </c>
      <c r="F214" s="195">
        <f t="shared" si="29"/>
        <v>169000</v>
      </c>
      <c r="G214" s="195">
        <f t="shared" si="29"/>
        <v>169000</v>
      </c>
      <c r="H214" s="195">
        <f t="shared" si="29"/>
        <v>139000</v>
      </c>
      <c r="I214" s="195">
        <f t="shared" si="29"/>
        <v>139000</v>
      </c>
      <c r="J214" s="195">
        <f t="shared" si="29"/>
        <v>79000</v>
      </c>
    </row>
    <row r="215" spans="1:10" x14ac:dyDescent="0.2">
      <c r="A215" s="139"/>
      <c r="B215" s="138"/>
      <c r="C215" s="86"/>
      <c r="D215" s="86"/>
      <c r="E215" s="86"/>
      <c r="F215" s="86"/>
      <c r="G215" s="86"/>
      <c r="H215" s="86"/>
      <c r="I215" s="86"/>
      <c r="J215" s="86"/>
    </row>
    <row r="216" spans="1:10" ht="15" x14ac:dyDescent="0.25">
      <c r="A216" s="139"/>
      <c r="B216" s="161" t="s">
        <v>546</v>
      </c>
      <c r="C216" s="164">
        <f t="shared" ref="C216:J216" si="30">SUM(C214,C206,C202,C193,C189,C183,C179,C174,C169,C165,C160,C156,C150,C144,C132,C126,C122,C116,C110,C104,C98,C91,C82)</f>
        <v>1448738.08</v>
      </c>
      <c r="D216" s="164">
        <f t="shared" si="30"/>
        <v>709551</v>
      </c>
      <c r="E216" s="164">
        <f t="shared" si="30"/>
        <v>852619.5</v>
      </c>
      <c r="F216" s="164">
        <f t="shared" si="30"/>
        <v>786644.58750000002</v>
      </c>
      <c r="G216" s="164">
        <f t="shared" si="30"/>
        <v>826209.13978750003</v>
      </c>
      <c r="H216" s="164">
        <f t="shared" si="30"/>
        <v>769836.2982581876</v>
      </c>
      <c r="I216" s="164">
        <f t="shared" si="30"/>
        <v>834850.24807212211</v>
      </c>
      <c r="J216" s="164">
        <f t="shared" si="30"/>
        <v>804242.36472903332</v>
      </c>
    </row>
    <row r="217" spans="1:10" x14ac:dyDescent="0.2">
      <c r="A217" s="139"/>
      <c r="B217" s="138"/>
      <c r="C217" s="288"/>
      <c r="D217" s="288"/>
      <c r="E217" s="86"/>
      <c r="F217" s="86"/>
      <c r="G217" s="86"/>
      <c r="H217" s="86"/>
      <c r="I217" s="86"/>
      <c r="J217" s="86"/>
    </row>
    <row r="218" spans="1:10" x14ac:dyDescent="0.2">
      <c r="A218" s="139"/>
      <c r="B218" s="289" t="s">
        <v>547</v>
      </c>
      <c r="C218" s="290">
        <f t="shared" ref="C218:J218" si="31">SUM(C216,C73)</f>
        <v>3147643.08</v>
      </c>
      <c r="D218" s="290">
        <f t="shared" si="31"/>
        <v>2481115</v>
      </c>
      <c r="E218" s="290">
        <f t="shared" si="31"/>
        <v>2882646.7350000003</v>
      </c>
      <c r="F218" s="290">
        <f t="shared" si="31"/>
        <v>2920608.5590499998</v>
      </c>
      <c r="G218" s="290">
        <f t="shared" si="31"/>
        <v>3155972.6532495003</v>
      </c>
      <c r="H218" s="290">
        <f t="shared" si="31"/>
        <v>3029075.8155458081</v>
      </c>
      <c r="I218" s="290">
        <f t="shared" si="31"/>
        <v>3206375.3682117886</v>
      </c>
      <c r="J218" s="290">
        <f t="shared" si="31"/>
        <v>3279125.1871827482</v>
      </c>
    </row>
    <row r="219" spans="1:10" x14ac:dyDescent="0.2">
      <c r="C219" s="286"/>
      <c r="D219" s="286"/>
      <c r="E219" s="286"/>
      <c r="F219" s="286"/>
      <c r="G219" s="286"/>
      <c r="H219" s="286"/>
      <c r="I219" s="286"/>
      <c r="J219" s="286"/>
    </row>
  </sheetData>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IE47"/>
  <sheetViews>
    <sheetView workbookViewId="0">
      <selection activeCell="Q4" sqref="Q4"/>
    </sheetView>
  </sheetViews>
  <sheetFormatPr defaultColWidth="8.85546875" defaultRowHeight="14.1" customHeight="1" x14ac:dyDescent="0.2"/>
  <cols>
    <col min="1" max="1" width="21.7109375" style="44" customWidth="1"/>
    <col min="2" max="2" width="41.28515625" style="44" bestFit="1" customWidth="1"/>
    <col min="3" max="3" width="12.42578125" style="44" hidden="1" customWidth="1"/>
    <col min="4" max="4" width="12.7109375" style="44" hidden="1" customWidth="1"/>
    <col min="5" max="5" width="12.85546875" style="44" hidden="1" customWidth="1"/>
    <col min="6" max="6" width="13.5703125" style="57" customWidth="1"/>
    <col min="7" max="7" width="12.42578125" style="57" customWidth="1"/>
    <col min="8" max="8" width="12.42578125" style="44" customWidth="1"/>
    <col min="9" max="9" width="12.85546875" style="44" customWidth="1"/>
    <col min="10" max="15" width="12.85546875" style="245" customWidth="1"/>
    <col min="16" max="238" width="8.85546875" style="44" customWidth="1"/>
  </cols>
  <sheetData>
    <row r="1" spans="1:239" ht="39.75" customHeight="1" x14ac:dyDescent="0.2">
      <c r="A1" s="92"/>
      <c r="B1" s="242" t="s">
        <v>1</v>
      </c>
      <c r="C1" s="243" t="s">
        <v>2</v>
      </c>
      <c r="D1" s="243" t="s">
        <v>3</v>
      </c>
      <c r="E1" s="243" t="s">
        <v>117</v>
      </c>
      <c r="F1" s="183" t="s">
        <v>521</v>
      </c>
      <c r="G1" s="183" t="s">
        <v>537</v>
      </c>
      <c r="H1" s="244" t="s">
        <v>520</v>
      </c>
      <c r="I1" s="258" t="s">
        <v>544</v>
      </c>
      <c r="J1" s="259">
        <v>2023</v>
      </c>
      <c r="K1" s="259">
        <v>2024</v>
      </c>
      <c r="L1" s="259">
        <v>2025</v>
      </c>
      <c r="M1" s="259">
        <v>2026</v>
      </c>
      <c r="N1" s="260">
        <v>2027</v>
      </c>
      <c r="O1" s="260">
        <v>2028</v>
      </c>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row>
    <row r="2" spans="1:239" ht="13.7" customHeight="1" x14ac:dyDescent="0.2">
      <c r="A2" s="198" t="s">
        <v>449</v>
      </c>
      <c r="B2" s="88"/>
      <c r="C2" s="88"/>
      <c r="D2" s="88"/>
      <c r="E2" s="88"/>
      <c r="F2" s="180"/>
      <c r="G2" s="178"/>
      <c r="H2" s="236"/>
      <c r="I2" s="239"/>
      <c r="J2" s="102"/>
      <c r="K2" s="102"/>
      <c r="L2" s="102"/>
      <c r="M2" s="102"/>
      <c r="N2" s="102"/>
      <c r="O2" s="102"/>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row>
    <row r="3" spans="1:239" ht="13.7" customHeight="1" x14ac:dyDescent="0.25">
      <c r="A3" s="94"/>
      <c r="B3" s="88"/>
      <c r="C3" s="88"/>
      <c r="D3" s="88"/>
      <c r="E3" s="88"/>
      <c r="F3" s="181"/>
      <c r="G3" s="178"/>
      <c r="H3" s="236"/>
      <c r="I3" s="239"/>
      <c r="J3" s="102"/>
      <c r="K3" s="102"/>
      <c r="L3" s="102"/>
      <c r="M3" s="102"/>
      <c r="N3" s="102"/>
      <c r="O3" s="102"/>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row>
    <row r="4" spans="1:239" ht="13.7" customHeight="1" x14ac:dyDescent="0.25">
      <c r="A4" s="95" t="s">
        <v>313</v>
      </c>
      <c r="B4" s="96" t="s">
        <v>330</v>
      </c>
      <c r="C4" s="93"/>
      <c r="D4" s="93"/>
      <c r="E4" s="93"/>
      <c r="F4" s="176">
        <v>1792742</v>
      </c>
      <c r="G4" s="134"/>
      <c r="H4" s="237">
        <v>1577725</v>
      </c>
      <c r="I4" s="240">
        <v>798222</v>
      </c>
      <c r="J4" s="102">
        <v>798222</v>
      </c>
      <c r="K4" s="102">
        <v>777946</v>
      </c>
      <c r="L4" s="173">
        <v>799316</v>
      </c>
      <c r="M4" s="173">
        <v>663377</v>
      </c>
      <c r="N4" s="173">
        <v>733929</v>
      </c>
      <c r="O4" s="173">
        <v>712407</v>
      </c>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row>
    <row r="5" spans="1:239" ht="14.85" customHeight="1" x14ac:dyDescent="0.25">
      <c r="A5" s="97" t="s">
        <v>314</v>
      </c>
      <c r="B5" s="89" t="s">
        <v>119</v>
      </c>
      <c r="C5" s="90">
        <v>1450074.67</v>
      </c>
      <c r="D5" s="90">
        <v>1485586.68</v>
      </c>
      <c r="E5" s="90">
        <v>1521594.99</v>
      </c>
      <c r="F5" s="99">
        <v>1559470</v>
      </c>
      <c r="G5" s="179">
        <v>1022820</v>
      </c>
      <c r="H5" s="134">
        <v>1588000</v>
      </c>
      <c r="I5" s="240">
        <v>1633880</v>
      </c>
      <c r="J5" s="102">
        <v>2078400</v>
      </c>
      <c r="K5" s="102">
        <f>SUM(J5*1.025)</f>
        <v>2130360</v>
      </c>
      <c r="L5" s="102">
        <f>SUM(K5*1.025)</f>
        <v>2183619</v>
      </c>
      <c r="M5" s="102">
        <f t="shared" ref="M5:O5" si="0">SUM(L5*1.025)</f>
        <v>2238209.4749999996</v>
      </c>
      <c r="N5" s="102">
        <f t="shared" si="0"/>
        <v>2294164.7118749996</v>
      </c>
      <c r="O5" s="102">
        <f t="shared" si="0"/>
        <v>2351518.8296718742</v>
      </c>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row>
    <row r="6" spans="1:239" ht="15" customHeight="1" x14ac:dyDescent="0.25">
      <c r="A6" s="97" t="s">
        <v>315</v>
      </c>
      <c r="B6" s="89" t="s">
        <v>207</v>
      </c>
      <c r="C6" s="98"/>
      <c r="D6" s="98"/>
      <c r="E6" s="98"/>
      <c r="F6" s="177">
        <v>12740</v>
      </c>
      <c r="G6" s="134">
        <v>0</v>
      </c>
      <c r="H6" s="134">
        <v>12000</v>
      </c>
      <c r="I6" s="240">
        <v>0</v>
      </c>
      <c r="J6" s="102">
        <v>0</v>
      </c>
      <c r="K6" s="102">
        <v>0</v>
      </c>
      <c r="L6" s="102">
        <v>0</v>
      </c>
      <c r="M6" s="102">
        <v>0</v>
      </c>
      <c r="N6" s="102">
        <v>0</v>
      </c>
      <c r="O6" s="102">
        <v>0</v>
      </c>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row>
    <row r="7" spans="1:239" ht="14.85" customHeight="1" x14ac:dyDescent="0.25">
      <c r="A7" s="97" t="s">
        <v>316</v>
      </c>
      <c r="B7" s="89" t="s">
        <v>121</v>
      </c>
      <c r="C7" s="90">
        <v>0</v>
      </c>
      <c r="D7" s="90">
        <v>66730.820000000007</v>
      </c>
      <c r="E7" s="90">
        <v>892173.69</v>
      </c>
      <c r="F7" s="99">
        <v>129540</v>
      </c>
      <c r="G7" s="182">
        <v>8340</v>
      </c>
      <c r="H7" s="134">
        <v>60000</v>
      </c>
      <c r="I7" s="240">
        <v>110000</v>
      </c>
      <c r="J7" s="102">
        <v>90000</v>
      </c>
      <c r="K7" s="102">
        <v>90000</v>
      </c>
      <c r="L7" s="102">
        <v>90000</v>
      </c>
      <c r="M7" s="102">
        <v>90000</v>
      </c>
      <c r="N7" s="102">
        <v>90000</v>
      </c>
      <c r="O7" s="102">
        <v>90000</v>
      </c>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row>
    <row r="8" spans="1:239" ht="14.85" customHeight="1" x14ac:dyDescent="0.25">
      <c r="A8" s="97" t="s">
        <v>317</v>
      </c>
      <c r="B8" s="89" t="s">
        <v>122</v>
      </c>
      <c r="C8" s="90"/>
      <c r="D8" s="90">
        <v>55300</v>
      </c>
      <c r="E8" s="90">
        <v>131560</v>
      </c>
      <c r="F8" s="99">
        <v>54851</v>
      </c>
      <c r="G8" s="134">
        <v>43840</v>
      </c>
      <c r="H8" s="134">
        <v>72000</v>
      </c>
      <c r="I8" s="241">
        <v>72000</v>
      </c>
      <c r="J8" s="102">
        <v>0</v>
      </c>
      <c r="K8" s="102">
        <v>0</v>
      </c>
      <c r="L8" s="102">
        <v>0</v>
      </c>
      <c r="M8" s="102">
        <v>0</v>
      </c>
      <c r="N8" s="102">
        <v>0</v>
      </c>
      <c r="O8" s="102">
        <v>0</v>
      </c>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row>
    <row r="9" spans="1:239" ht="14.85" customHeight="1" x14ac:dyDescent="0.25">
      <c r="A9" s="97" t="s">
        <v>318</v>
      </c>
      <c r="B9" s="89" t="s">
        <v>123</v>
      </c>
      <c r="C9" s="90">
        <v>1270</v>
      </c>
      <c r="D9" s="90">
        <v>1222</v>
      </c>
      <c r="E9" s="90">
        <v>1266</v>
      </c>
      <c r="F9" s="99">
        <v>1260</v>
      </c>
      <c r="G9" s="134">
        <v>1260</v>
      </c>
      <c r="H9" s="134">
        <v>1260</v>
      </c>
      <c r="I9" s="240">
        <v>1260</v>
      </c>
      <c r="J9" s="102">
        <v>0</v>
      </c>
      <c r="K9" s="102">
        <v>0</v>
      </c>
      <c r="L9" s="102">
        <v>0</v>
      </c>
      <c r="M9" s="102">
        <v>0</v>
      </c>
      <c r="N9" s="102">
        <v>0</v>
      </c>
      <c r="O9" s="102">
        <v>0</v>
      </c>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row>
    <row r="10" spans="1:239" ht="14.85" customHeight="1" x14ac:dyDescent="0.25">
      <c r="A10" s="97" t="s">
        <v>319</v>
      </c>
      <c r="B10" s="89" t="s">
        <v>124</v>
      </c>
      <c r="C10" s="90">
        <v>603.30999999999995</v>
      </c>
      <c r="D10" s="90">
        <v>390.26</v>
      </c>
      <c r="E10" s="90">
        <v>356.57</v>
      </c>
      <c r="F10" s="99">
        <v>396</v>
      </c>
      <c r="G10" s="134"/>
      <c r="H10" s="134">
        <v>400</v>
      </c>
      <c r="I10" s="240">
        <v>400</v>
      </c>
      <c r="J10" s="102">
        <f>SUM(I10*1.25)</f>
        <v>500</v>
      </c>
      <c r="K10" s="102">
        <v>500</v>
      </c>
      <c r="L10" s="102">
        <v>500</v>
      </c>
      <c r="M10" s="102">
        <v>500</v>
      </c>
      <c r="N10" s="102">
        <v>500</v>
      </c>
      <c r="O10" s="102">
        <v>500</v>
      </c>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row>
    <row r="11" spans="1:239" ht="14.85" customHeight="1" x14ac:dyDescent="0.25">
      <c r="A11" s="100" t="s">
        <v>331</v>
      </c>
      <c r="B11" s="89" t="s">
        <v>333</v>
      </c>
      <c r="C11" s="90">
        <f>8225.69+152.35</f>
        <v>8378.0400000000009</v>
      </c>
      <c r="D11" s="90">
        <f>8804.85+278.5</f>
        <v>9083.35</v>
      </c>
      <c r="E11" s="90">
        <f>9696.67+94.72</f>
        <v>9791.39</v>
      </c>
      <c r="F11" s="99">
        <v>10584</v>
      </c>
      <c r="G11" s="134">
        <v>8495</v>
      </c>
      <c r="H11" s="134">
        <v>9300</v>
      </c>
      <c r="I11" s="240">
        <v>9300</v>
      </c>
      <c r="J11" s="102">
        <f>SUM(I11*1.25)</f>
        <v>11625</v>
      </c>
      <c r="K11" s="102">
        <v>11625</v>
      </c>
      <c r="L11" s="102">
        <v>11625</v>
      </c>
      <c r="M11" s="102">
        <v>11625</v>
      </c>
      <c r="N11" s="102">
        <v>11625</v>
      </c>
      <c r="O11" s="102">
        <v>11625</v>
      </c>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row>
    <row r="12" spans="1:239" ht="14.85" customHeight="1" x14ac:dyDescent="0.25">
      <c r="A12" s="100" t="s">
        <v>332</v>
      </c>
      <c r="B12" s="89" t="s">
        <v>334</v>
      </c>
      <c r="C12" s="90"/>
      <c r="D12" s="90"/>
      <c r="E12" s="90"/>
      <c r="F12" s="99">
        <v>133</v>
      </c>
      <c r="G12" s="134">
        <v>40</v>
      </c>
      <c r="H12" s="134">
        <v>75</v>
      </c>
      <c r="I12" s="240">
        <v>75</v>
      </c>
      <c r="J12" s="102">
        <f>SUM(I12*1.25)</f>
        <v>93.75</v>
      </c>
      <c r="K12" s="102">
        <v>94</v>
      </c>
      <c r="L12" s="102">
        <v>94</v>
      </c>
      <c r="M12" s="102">
        <v>94</v>
      </c>
      <c r="N12" s="102">
        <v>94</v>
      </c>
      <c r="O12" s="102">
        <v>94</v>
      </c>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row>
    <row r="13" spans="1:239" ht="14.1" customHeight="1" x14ac:dyDescent="0.25">
      <c r="A13" s="103" t="s">
        <v>320</v>
      </c>
      <c r="B13" s="89" t="s">
        <v>120</v>
      </c>
      <c r="C13" s="90">
        <v>44663.75</v>
      </c>
      <c r="D13" s="90">
        <v>41701.29</v>
      </c>
      <c r="E13" s="90">
        <v>40924.269999999997</v>
      </c>
      <c r="F13" s="99">
        <v>25792</v>
      </c>
      <c r="G13" s="134">
        <v>23530</v>
      </c>
      <c r="H13" s="134">
        <v>15000</v>
      </c>
      <c r="I13" s="240">
        <v>30000</v>
      </c>
      <c r="J13" s="102">
        <v>30000</v>
      </c>
      <c r="K13" s="102">
        <v>30000</v>
      </c>
      <c r="L13" s="102">
        <v>30000</v>
      </c>
      <c r="M13" s="102">
        <v>30000</v>
      </c>
      <c r="N13" s="102">
        <v>30000</v>
      </c>
      <c r="O13" s="102">
        <v>30000</v>
      </c>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row>
    <row r="14" spans="1:239" ht="14.1" customHeight="1" x14ac:dyDescent="0.25">
      <c r="A14" s="103" t="s">
        <v>321</v>
      </c>
      <c r="B14" s="89" t="s">
        <v>118</v>
      </c>
      <c r="C14" s="90">
        <v>422170.48</v>
      </c>
      <c r="D14" s="90">
        <v>457544.12</v>
      </c>
      <c r="E14" s="90">
        <v>433545.07</v>
      </c>
      <c r="F14" s="99">
        <v>393049</v>
      </c>
      <c r="G14" s="134">
        <v>263710</v>
      </c>
      <c r="H14" s="134">
        <v>400000</v>
      </c>
      <c r="I14" s="240">
        <v>420000</v>
      </c>
      <c r="J14" s="102">
        <f>SUM(I14*1.03)</f>
        <v>432600</v>
      </c>
      <c r="K14" s="102">
        <f t="shared" ref="K14:O14" si="1">SUM(J14*1.03)</f>
        <v>445578</v>
      </c>
      <c r="L14" s="102">
        <f t="shared" si="1"/>
        <v>458945.34</v>
      </c>
      <c r="M14" s="102">
        <f t="shared" si="1"/>
        <v>472713.70020000002</v>
      </c>
      <c r="N14" s="102">
        <f t="shared" si="1"/>
        <v>486895.11120600003</v>
      </c>
      <c r="O14" s="102">
        <f t="shared" si="1"/>
        <v>501501.96454218007</v>
      </c>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row>
    <row r="15" spans="1:239" ht="14.1" customHeight="1" x14ac:dyDescent="0.25">
      <c r="A15" s="100" t="s">
        <v>335</v>
      </c>
      <c r="B15" s="89" t="s">
        <v>336</v>
      </c>
      <c r="C15" s="90"/>
      <c r="D15" s="90"/>
      <c r="E15" s="90"/>
      <c r="F15" s="99">
        <v>0</v>
      </c>
      <c r="G15" s="134"/>
      <c r="H15" s="134">
        <v>0</v>
      </c>
      <c r="I15" s="240">
        <v>0</v>
      </c>
      <c r="J15" s="102">
        <v>0</v>
      </c>
      <c r="K15" s="102">
        <v>0</v>
      </c>
      <c r="L15" s="102">
        <v>0</v>
      </c>
      <c r="M15" s="102">
        <v>0</v>
      </c>
      <c r="N15" s="102">
        <v>0</v>
      </c>
      <c r="O15" s="102">
        <v>0</v>
      </c>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row>
    <row r="16" spans="1:239" ht="14.1" customHeight="1" x14ac:dyDescent="0.25">
      <c r="A16" s="88" t="s">
        <v>337</v>
      </c>
      <c r="B16" s="89" t="s">
        <v>338</v>
      </c>
      <c r="C16" s="90"/>
      <c r="D16" s="90"/>
      <c r="E16" s="90"/>
      <c r="F16" s="99">
        <v>0</v>
      </c>
      <c r="G16" s="134"/>
      <c r="H16" s="134">
        <v>0</v>
      </c>
      <c r="I16" s="240">
        <v>0</v>
      </c>
      <c r="J16" s="102">
        <v>0</v>
      </c>
      <c r="K16" s="102">
        <v>0</v>
      </c>
      <c r="L16" s="102">
        <v>0</v>
      </c>
      <c r="M16" s="102">
        <v>0</v>
      </c>
      <c r="N16" s="102">
        <v>0</v>
      </c>
      <c r="O16" s="102">
        <v>0</v>
      </c>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row>
    <row r="17" spans="1:239" ht="14.1" customHeight="1" x14ac:dyDescent="0.25">
      <c r="A17" s="100" t="s">
        <v>322</v>
      </c>
      <c r="B17" s="89" t="s">
        <v>6</v>
      </c>
      <c r="C17" s="90">
        <v>3137.28</v>
      </c>
      <c r="D17" s="90">
        <v>6237.97</v>
      </c>
      <c r="E17" s="90">
        <v>7513.37</v>
      </c>
      <c r="F17" s="99">
        <v>2067</v>
      </c>
      <c r="G17" s="134">
        <v>160</v>
      </c>
      <c r="H17" s="134">
        <v>160</v>
      </c>
      <c r="I17" s="240">
        <v>0</v>
      </c>
      <c r="J17" s="102">
        <v>0</v>
      </c>
      <c r="K17" s="102">
        <v>0</v>
      </c>
      <c r="L17" s="102">
        <v>0</v>
      </c>
      <c r="M17" s="102">
        <v>0</v>
      </c>
      <c r="N17" s="102">
        <v>0</v>
      </c>
      <c r="O17" s="102">
        <v>0</v>
      </c>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row>
    <row r="18" spans="1:239" ht="14.1" customHeight="1" x14ac:dyDescent="0.25">
      <c r="A18" s="100" t="s">
        <v>339</v>
      </c>
      <c r="B18" s="89" t="s">
        <v>340</v>
      </c>
      <c r="C18" s="90"/>
      <c r="D18" s="90"/>
      <c r="E18" s="90"/>
      <c r="F18" s="99">
        <v>0</v>
      </c>
      <c r="G18" s="134">
        <v>0</v>
      </c>
      <c r="H18" s="134">
        <v>0</v>
      </c>
      <c r="I18" s="240">
        <v>0</v>
      </c>
      <c r="J18" s="102">
        <v>0</v>
      </c>
      <c r="K18" s="102">
        <v>0</v>
      </c>
      <c r="L18" s="102">
        <v>0</v>
      </c>
      <c r="M18" s="102">
        <v>0</v>
      </c>
      <c r="N18" s="102">
        <v>0</v>
      </c>
      <c r="O18" s="102">
        <v>0</v>
      </c>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row>
    <row r="19" spans="1:239" ht="14.1" customHeight="1" x14ac:dyDescent="0.25">
      <c r="A19" s="100" t="s">
        <v>341</v>
      </c>
      <c r="B19" s="89" t="s">
        <v>342</v>
      </c>
      <c r="C19" s="90"/>
      <c r="D19" s="90"/>
      <c r="E19" s="90"/>
      <c r="F19" s="99">
        <v>0</v>
      </c>
      <c r="G19" s="134">
        <v>0</v>
      </c>
      <c r="H19" s="134">
        <v>0</v>
      </c>
      <c r="I19" s="240">
        <v>0</v>
      </c>
      <c r="J19" s="102">
        <v>0</v>
      </c>
      <c r="K19" s="102">
        <v>0</v>
      </c>
      <c r="L19" s="102">
        <v>0</v>
      </c>
      <c r="M19" s="102">
        <v>0</v>
      </c>
      <c r="N19" s="102">
        <v>0</v>
      </c>
      <c r="O19" s="102">
        <v>0</v>
      </c>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row>
    <row r="20" spans="1:239" ht="14.1" customHeight="1" x14ac:dyDescent="0.25">
      <c r="A20" s="101" t="s">
        <v>323</v>
      </c>
      <c r="B20" s="89" t="s">
        <v>30</v>
      </c>
      <c r="C20" s="90"/>
      <c r="D20" s="90"/>
      <c r="E20" s="90"/>
      <c r="F20" s="99">
        <v>121</v>
      </c>
      <c r="G20" s="134">
        <v>0</v>
      </c>
      <c r="H20" s="134">
        <v>0</v>
      </c>
      <c r="I20" s="240">
        <v>0</v>
      </c>
      <c r="J20" s="102">
        <v>0</v>
      </c>
      <c r="K20" s="102">
        <v>0</v>
      </c>
      <c r="L20" s="102">
        <v>0</v>
      </c>
      <c r="M20" s="102">
        <v>0</v>
      </c>
      <c r="N20" s="102">
        <v>0</v>
      </c>
      <c r="O20" s="102">
        <v>0</v>
      </c>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row>
    <row r="21" spans="1:239" ht="14.1" customHeight="1" x14ac:dyDescent="0.25">
      <c r="A21" s="101" t="s">
        <v>343</v>
      </c>
      <c r="B21" s="89" t="s">
        <v>344</v>
      </c>
      <c r="C21" s="90"/>
      <c r="D21" s="90"/>
      <c r="E21" s="90"/>
      <c r="F21" s="99">
        <v>2100</v>
      </c>
      <c r="G21" s="134">
        <v>25000</v>
      </c>
      <c r="H21" s="134">
        <v>25000</v>
      </c>
      <c r="I21" s="240">
        <v>0</v>
      </c>
      <c r="J21" s="102">
        <v>0</v>
      </c>
      <c r="K21" s="102">
        <v>0</v>
      </c>
      <c r="L21" s="102">
        <v>0</v>
      </c>
      <c r="M21" s="102">
        <v>0</v>
      </c>
      <c r="N21" s="102">
        <v>0</v>
      </c>
      <c r="O21" s="102">
        <v>0</v>
      </c>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row>
    <row r="22" spans="1:239" ht="14.1" customHeight="1" x14ac:dyDescent="0.25">
      <c r="A22" s="100" t="s">
        <v>345</v>
      </c>
      <c r="B22" s="89" t="s">
        <v>346</v>
      </c>
      <c r="C22" s="90"/>
      <c r="D22" s="90"/>
      <c r="E22" s="90"/>
      <c r="F22" s="99">
        <v>1425</v>
      </c>
      <c r="G22" s="134">
        <v>3320</v>
      </c>
      <c r="H22" s="134">
        <v>0</v>
      </c>
      <c r="I22" s="240">
        <v>0</v>
      </c>
      <c r="J22" s="102">
        <v>0</v>
      </c>
      <c r="K22" s="102">
        <v>0</v>
      </c>
      <c r="L22" s="102">
        <v>0</v>
      </c>
      <c r="M22" s="102">
        <v>0</v>
      </c>
      <c r="N22" s="102">
        <v>0</v>
      </c>
      <c r="O22" s="102">
        <v>0</v>
      </c>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row>
    <row r="23" spans="1:239" ht="14.1" customHeight="1" x14ac:dyDescent="0.25">
      <c r="A23" s="100" t="s">
        <v>538</v>
      </c>
      <c r="B23" s="89" t="s">
        <v>125</v>
      </c>
      <c r="C23" s="90">
        <v>4333.1400000000003</v>
      </c>
      <c r="D23" s="90">
        <f>245+675.19</f>
        <v>920.19</v>
      </c>
      <c r="E23" s="90">
        <f>217.27+509.39</f>
        <v>726.66</v>
      </c>
      <c r="F23" s="99">
        <v>2585</v>
      </c>
      <c r="G23" s="134">
        <v>0</v>
      </c>
      <c r="H23" s="134">
        <v>0</v>
      </c>
      <c r="I23" s="240">
        <v>0</v>
      </c>
      <c r="J23" s="102">
        <v>0</v>
      </c>
      <c r="K23" s="102">
        <v>0</v>
      </c>
      <c r="L23" s="102">
        <v>0</v>
      </c>
      <c r="M23" s="102">
        <v>0</v>
      </c>
      <c r="N23" s="102">
        <v>0</v>
      </c>
      <c r="O23" s="102">
        <v>0</v>
      </c>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row>
    <row r="24" spans="1:239" ht="14.1" customHeight="1" x14ac:dyDescent="0.25">
      <c r="A24" s="100" t="s">
        <v>539</v>
      </c>
      <c r="B24" s="89" t="s">
        <v>540</v>
      </c>
      <c r="C24" s="90"/>
      <c r="D24" s="90"/>
      <c r="E24" s="90"/>
      <c r="F24" s="99"/>
      <c r="G24" s="134">
        <v>2225</v>
      </c>
      <c r="H24" s="134">
        <v>0</v>
      </c>
      <c r="I24" s="240">
        <v>0</v>
      </c>
      <c r="J24" s="102">
        <v>0</v>
      </c>
      <c r="K24" s="102">
        <v>0</v>
      </c>
      <c r="L24" s="102">
        <v>0</v>
      </c>
      <c r="M24" s="102">
        <v>0</v>
      </c>
      <c r="N24" s="102">
        <v>0</v>
      </c>
      <c r="O24" s="102">
        <v>0</v>
      </c>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row>
    <row r="25" spans="1:239" ht="14.1" customHeight="1" x14ac:dyDescent="0.25">
      <c r="A25" s="103" t="s">
        <v>535</v>
      </c>
      <c r="B25" s="89" t="s">
        <v>126</v>
      </c>
      <c r="C25" s="99">
        <v>92653.119999999995</v>
      </c>
      <c r="D25" s="99">
        <v>137593.22</v>
      </c>
      <c r="E25" s="99">
        <v>176711.33</v>
      </c>
      <c r="F25" s="99">
        <v>186389</v>
      </c>
      <c r="G25" s="134">
        <v>115960</v>
      </c>
      <c r="H25" s="134">
        <v>160000</v>
      </c>
      <c r="I25" s="240">
        <v>199200</v>
      </c>
      <c r="J25" s="134">
        <f>SUM(I25*1.06)</f>
        <v>211152</v>
      </c>
      <c r="K25" s="134">
        <f t="shared" ref="K25:O25" si="2">SUM(J25*1.06)</f>
        <v>223821.12000000002</v>
      </c>
      <c r="L25" s="134">
        <f t="shared" si="2"/>
        <v>237250.38720000003</v>
      </c>
      <c r="M25" s="134">
        <f t="shared" si="2"/>
        <v>251485.41043200003</v>
      </c>
      <c r="N25" s="134">
        <f t="shared" si="2"/>
        <v>266574.53505792003</v>
      </c>
      <c r="O25" s="134">
        <f t="shared" si="2"/>
        <v>282569.00716139528</v>
      </c>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row>
    <row r="26" spans="1:239" ht="14.1" customHeight="1" x14ac:dyDescent="0.25">
      <c r="A26" s="100" t="s">
        <v>347</v>
      </c>
      <c r="B26" s="89" t="s">
        <v>348</v>
      </c>
      <c r="C26" s="90"/>
      <c r="D26" s="90"/>
      <c r="E26" s="90"/>
      <c r="F26" s="99">
        <v>3669</v>
      </c>
      <c r="G26" s="134">
        <v>0</v>
      </c>
      <c r="H26" s="134">
        <v>0</v>
      </c>
      <c r="I26" s="240">
        <v>0</v>
      </c>
      <c r="J26" s="102">
        <v>0</v>
      </c>
      <c r="K26" s="102">
        <v>0</v>
      </c>
      <c r="L26" s="102">
        <v>0</v>
      </c>
      <c r="M26" s="102">
        <v>0</v>
      </c>
      <c r="N26" s="102">
        <v>0</v>
      </c>
      <c r="O26" s="102">
        <v>0</v>
      </c>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row>
    <row r="27" spans="1:239" ht="14.1" customHeight="1" x14ac:dyDescent="0.25">
      <c r="A27" s="100" t="s">
        <v>349</v>
      </c>
      <c r="B27" s="89" t="s">
        <v>350</v>
      </c>
      <c r="C27" s="99"/>
      <c r="D27" s="99"/>
      <c r="E27" s="99"/>
      <c r="F27" s="99">
        <v>0</v>
      </c>
      <c r="G27" s="134">
        <v>0</v>
      </c>
      <c r="H27" s="134">
        <v>0</v>
      </c>
      <c r="I27" s="240">
        <v>0</v>
      </c>
      <c r="J27" s="102">
        <v>0</v>
      </c>
      <c r="K27" s="102">
        <v>0</v>
      </c>
      <c r="L27" s="102">
        <v>0</v>
      </c>
      <c r="M27" s="102">
        <v>0</v>
      </c>
      <c r="N27" s="102">
        <v>0</v>
      </c>
      <c r="O27" s="102">
        <v>0</v>
      </c>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row>
    <row r="28" spans="1:239" ht="14.1" customHeight="1" x14ac:dyDescent="0.25">
      <c r="A28" s="94" t="s">
        <v>324</v>
      </c>
      <c r="B28" s="89" t="s">
        <v>206</v>
      </c>
      <c r="C28" s="99"/>
      <c r="D28" s="99"/>
      <c r="E28" s="99"/>
      <c r="F28" s="99">
        <v>7300</v>
      </c>
      <c r="G28" s="102">
        <v>20340</v>
      </c>
      <c r="H28" s="134">
        <v>14945</v>
      </c>
      <c r="I28" s="240">
        <v>0</v>
      </c>
      <c r="J28" s="134">
        <v>3000</v>
      </c>
      <c r="K28" s="102">
        <v>5000</v>
      </c>
      <c r="L28" s="102">
        <v>3000</v>
      </c>
      <c r="M28" s="102">
        <v>0</v>
      </c>
      <c r="N28" s="102">
        <v>0</v>
      </c>
      <c r="O28" s="102">
        <v>0</v>
      </c>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row>
    <row r="29" spans="1:239" ht="14.1" customHeight="1" x14ac:dyDescent="0.25">
      <c r="A29" s="104" t="s">
        <v>351</v>
      </c>
      <c r="B29" s="89" t="s">
        <v>436</v>
      </c>
      <c r="C29" s="99">
        <v>3426.77</v>
      </c>
      <c r="D29" s="99">
        <v>825000</v>
      </c>
      <c r="E29" s="99">
        <v>0</v>
      </c>
      <c r="F29" s="99">
        <v>0</v>
      </c>
      <c r="G29" s="102">
        <v>0</v>
      </c>
      <c r="H29" s="134">
        <v>10000</v>
      </c>
      <c r="I29" s="240">
        <v>5000</v>
      </c>
      <c r="J29" s="134">
        <v>5000</v>
      </c>
      <c r="K29" s="185">
        <v>5000</v>
      </c>
      <c r="L29" s="134">
        <v>5000</v>
      </c>
      <c r="M29" s="185">
        <v>5000</v>
      </c>
      <c r="N29" s="134">
        <v>5000</v>
      </c>
      <c r="O29" s="185">
        <v>5000</v>
      </c>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row>
    <row r="30" spans="1:239" ht="14.1" customHeight="1" x14ac:dyDescent="0.25">
      <c r="A30" s="104"/>
      <c r="B30" s="89"/>
      <c r="C30" s="99"/>
      <c r="D30" s="99"/>
      <c r="E30" s="99"/>
      <c r="F30" s="199"/>
      <c r="G30" s="200"/>
      <c r="H30" s="134"/>
      <c r="I30" s="239"/>
      <c r="J30" s="102"/>
      <c r="K30" s="102"/>
      <c r="L30" s="102"/>
      <c r="M30" s="102"/>
      <c r="N30" s="102"/>
      <c r="O30" s="102"/>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row>
    <row r="31" spans="1:239" ht="14.1" customHeight="1" x14ac:dyDescent="0.25">
      <c r="A31" s="203"/>
      <c r="B31" s="209" t="s">
        <v>526</v>
      </c>
      <c r="C31" s="204"/>
      <c r="D31" s="204"/>
      <c r="E31" s="204"/>
      <c r="F31" s="204">
        <f>F32-F4</f>
        <v>2393471</v>
      </c>
      <c r="G31" s="205"/>
      <c r="H31" s="204">
        <f t="shared" ref="H31:O31" si="3">H32-H4</f>
        <v>2368140</v>
      </c>
      <c r="I31" s="202">
        <f t="shared" si="3"/>
        <v>2481115</v>
      </c>
      <c r="J31" s="204">
        <f t="shared" si="3"/>
        <v>2862370.75</v>
      </c>
      <c r="K31" s="204">
        <f t="shared" si="3"/>
        <v>2941978.12</v>
      </c>
      <c r="L31" s="204">
        <f t="shared" si="3"/>
        <v>3020033.7272000001</v>
      </c>
      <c r="M31" s="204">
        <f t="shared" si="3"/>
        <v>3099627.5856319997</v>
      </c>
      <c r="N31" s="204">
        <f t="shared" si="3"/>
        <v>3184853.3581389198</v>
      </c>
      <c r="O31" s="204">
        <f t="shared" si="3"/>
        <v>3272808.8013754492</v>
      </c>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row>
    <row r="32" spans="1:239" ht="13.7" customHeight="1" x14ac:dyDescent="0.2">
      <c r="A32" s="206"/>
      <c r="B32" s="207" t="s">
        <v>422</v>
      </c>
      <c r="C32" s="206"/>
      <c r="D32" s="206"/>
      <c r="E32" s="206"/>
      <c r="F32" s="208">
        <f>SUM(F4:F29)</f>
        <v>4186213</v>
      </c>
      <c r="G32" s="205"/>
      <c r="H32" s="238">
        <f t="shared" ref="H32:O32" si="4">SUM(H4:H29)</f>
        <v>3945865</v>
      </c>
      <c r="I32" s="201">
        <f t="shared" si="4"/>
        <v>3279337</v>
      </c>
      <c r="J32" s="238">
        <f t="shared" si="4"/>
        <v>3660592.75</v>
      </c>
      <c r="K32" s="238">
        <f t="shared" si="4"/>
        <v>3719924.12</v>
      </c>
      <c r="L32" s="238">
        <f t="shared" si="4"/>
        <v>3819349.7272000001</v>
      </c>
      <c r="M32" s="238">
        <f t="shared" si="4"/>
        <v>3763004.5856319997</v>
      </c>
      <c r="N32" s="238">
        <f t="shared" si="4"/>
        <v>3918782.3581389198</v>
      </c>
      <c r="O32" s="238">
        <f t="shared" si="4"/>
        <v>3985215.8013754492</v>
      </c>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row>
    <row r="36" spans="1:238" ht="16.350000000000001" hidden="1" customHeight="1" x14ac:dyDescent="0.25">
      <c r="A36" s="14" t="s">
        <v>32</v>
      </c>
      <c r="B36" s="2"/>
      <c r="C36" s="11"/>
      <c r="D36" s="11"/>
      <c r="E36" s="11"/>
      <c r="H36" s="57"/>
      <c r="I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c r="HS36" s="57"/>
      <c r="HT36" s="57"/>
      <c r="HU36" s="57"/>
      <c r="HV36" s="57"/>
      <c r="HW36" s="57"/>
      <c r="HX36" s="57"/>
      <c r="HY36" s="57"/>
      <c r="HZ36" s="57"/>
      <c r="IA36" s="57"/>
      <c r="IB36" s="57"/>
      <c r="IC36" s="57"/>
      <c r="ID36" s="57"/>
    </row>
    <row r="37" spans="1:238" ht="15" hidden="1" customHeight="1" x14ac:dyDescent="0.25">
      <c r="A37" s="2"/>
      <c r="B37" s="3" t="s">
        <v>4</v>
      </c>
      <c r="C37" s="45">
        <v>0</v>
      </c>
      <c r="D37" s="16">
        <v>0</v>
      </c>
      <c r="E37" s="16">
        <v>0</v>
      </c>
      <c r="H37" s="57"/>
      <c r="I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c r="HE37" s="57"/>
      <c r="HF37" s="57"/>
      <c r="HG37" s="57"/>
      <c r="HH37" s="57"/>
      <c r="HI37" s="57"/>
      <c r="HJ37" s="57"/>
      <c r="HK37" s="57"/>
      <c r="HL37" s="57"/>
      <c r="HM37" s="57"/>
      <c r="HN37" s="57"/>
      <c r="HO37" s="57"/>
      <c r="HP37" s="57"/>
      <c r="HQ37" s="57"/>
      <c r="HR37" s="57"/>
      <c r="HS37" s="57"/>
      <c r="HT37" s="57"/>
      <c r="HU37" s="57"/>
      <c r="HV37" s="57"/>
      <c r="HW37" s="57"/>
      <c r="HX37" s="57"/>
      <c r="HY37" s="57"/>
      <c r="HZ37" s="57"/>
      <c r="IA37" s="57"/>
      <c r="IB37" s="57"/>
      <c r="IC37" s="57"/>
      <c r="ID37" s="57"/>
    </row>
    <row r="38" spans="1:238" ht="15" hidden="1" customHeight="1" x14ac:dyDescent="0.25">
      <c r="A38" s="2"/>
      <c r="B38" s="3" t="s">
        <v>20</v>
      </c>
      <c r="C38" s="16">
        <v>0</v>
      </c>
      <c r="D38" s="16">
        <v>0</v>
      </c>
      <c r="E38" s="16">
        <v>0</v>
      </c>
      <c r="H38" s="57"/>
      <c r="I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row>
    <row r="39" spans="1:238" ht="15" hidden="1" customHeight="1" x14ac:dyDescent="0.25">
      <c r="A39" s="2"/>
      <c r="B39" s="3" t="s">
        <v>21</v>
      </c>
      <c r="C39" s="16">
        <v>0</v>
      </c>
      <c r="D39" s="16">
        <v>0</v>
      </c>
      <c r="E39" s="16">
        <v>0</v>
      </c>
      <c r="H39" s="57"/>
      <c r="I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row>
    <row r="40" spans="1:238" ht="15" hidden="1" customHeight="1" x14ac:dyDescent="0.25">
      <c r="A40" s="2"/>
      <c r="B40" s="3" t="s">
        <v>6</v>
      </c>
      <c r="C40" s="16">
        <v>0</v>
      </c>
      <c r="D40" s="16">
        <v>0</v>
      </c>
      <c r="E40" s="16">
        <v>0</v>
      </c>
      <c r="H40" s="57"/>
      <c r="I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row>
    <row r="41" spans="1:238" ht="15" hidden="1" customHeight="1" x14ac:dyDescent="0.25">
      <c r="A41" s="17"/>
      <c r="B41" s="18" t="s">
        <v>22</v>
      </c>
      <c r="C41" s="19">
        <v>0</v>
      </c>
      <c r="D41" s="19">
        <v>0</v>
      </c>
      <c r="E41" s="19">
        <v>0</v>
      </c>
      <c r="H41" s="57"/>
      <c r="I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row>
    <row r="42" spans="1:238" ht="12.6" hidden="1" customHeight="1" x14ac:dyDescent="0.25">
      <c r="A42" s="47"/>
      <c r="B42" s="48" t="s">
        <v>10</v>
      </c>
      <c r="C42" s="46">
        <f>SUM(C37:C41)</f>
        <v>0</v>
      </c>
      <c r="D42" s="46">
        <f>SUM(D37:D41)</f>
        <v>0</v>
      </c>
      <c r="E42" s="46">
        <f>SUM(E37:E41)</f>
        <v>0</v>
      </c>
      <c r="H42" s="57"/>
      <c r="I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row>
    <row r="47" spans="1:238" ht="14.1" customHeight="1" x14ac:dyDescent="0.2">
      <c r="ID47"/>
    </row>
  </sheetData>
  <phoneticPr fontId="18" type="noConversion"/>
  <pageMargins left="0.25" right="0.25" top="0.5" bottom="0.5" header="0.3" footer="0.3"/>
  <pageSetup scale="71" firstPageNumber="2" orientation="landscape" useFirstPageNumber="1" r:id="rId1"/>
  <headerFooter>
    <oddFooter>&amp;C&amp;"Helvetica,Regular"&amp;12&amp;K000000&amp;P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HY258"/>
  <sheetViews>
    <sheetView tabSelected="1" workbookViewId="0">
      <pane ySplit="1" topLeftCell="A2" activePane="bottomLeft" state="frozen"/>
      <selection pane="bottomLeft" activeCell="N6" sqref="N6"/>
    </sheetView>
  </sheetViews>
  <sheetFormatPr defaultColWidth="8.85546875" defaultRowHeight="14.1" customHeight="1" x14ac:dyDescent="0.25"/>
  <cols>
    <col min="1" max="1" width="15.42578125" style="72" customWidth="1"/>
    <col min="2" max="2" width="36" style="72" customWidth="1"/>
    <col min="3" max="4" width="12.85546875" style="72" customWidth="1"/>
    <col min="5" max="5" width="12.85546875" style="197" customWidth="1"/>
    <col min="6" max="6" width="12.85546875" style="221" customWidth="1"/>
    <col min="7" max="12" width="12.85546875" style="192" customWidth="1"/>
    <col min="13" max="233" width="8.85546875" style="72" customWidth="1"/>
    <col min="234" max="16384" width="8.85546875" style="73"/>
  </cols>
  <sheetData>
    <row r="1" spans="1:12" ht="45.95" customHeight="1" x14ac:dyDescent="0.25">
      <c r="A1" s="247" t="s">
        <v>33</v>
      </c>
      <c r="B1" s="247" t="s">
        <v>34</v>
      </c>
      <c r="C1" s="248" t="s">
        <v>521</v>
      </c>
      <c r="D1" s="249" t="s">
        <v>536</v>
      </c>
      <c r="E1" s="250" t="s">
        <v>534</v>
      </c>
      <c r="F1" s="275" t="s">
        <v>544</v>
      </c>
      <c r="G1" s="261">
        <v>2023</v>
      </c>
      <c r="H1" s="261">
        <v>2024</v>
      </c>
      <c r="I1" s="261">
        <v>2025</v>
      </c>
      <c r="J1" s="261">
        <v>2026</v>
      </c>
      <c r="K1" s="262">
        <v>2027</v>
      </c>
      <c r="L1" s="262">
        <v>2028</v>
      </c>
    </row>
    <row r="2" spans="1:12" ht="15.6" customHeight="1" x14ac:dyDescent="0.25">
      <c r="A2" s="105" t="s">
        <v>37</v>
      </c>
      <c r="B2" s="106"/>
      <c r="C2" s="120"/>
      <c r="D2" s="109"/>
      <c r="E2" s="132"/>
      <c r="F2" s="240"/>
      <c r="G2" s="173"/>
      <c r="H2" s="173"/>
      <c r="I2" s="173"/>
      <c r="J2" s="173"/>
      <c r="K2" s="173"/>
      <c r="L2" s="173"/>
    </row>
    <row r="3" spans="1:12" ht="15.6" customHeight="1" x14ac:dyDescent="0.25">
      <c r="A3" s="95"/>
      <c r="B3" s="107"/>
      <c r="C3" s="108"/>
      <c r="D3" s="132"/>
      <c r="E3" s="108"/>
      <c r="F3" s="240"/>
      <c r="G3" s="173"/>
      <c r="H3" s="173"/>
      <c r="I3" s="173"/>
      <c r="J3" s="173"/>
      <c r="K3" s="173"/>
      <c r="L3" s="173"/>
    </row>
    <row r="4" spans="1:12" ht="15" x14ac:dyDescent="0.25">
      <c r="A4" s="110" t="s">
        <v>425</v>
      </c>
      <c r="B4" s="89" t="s">
        <v>426</v>
      </c>
      <c r="C4" s="185">
        <v>1577725</v>
      </c>
      <c r="D4" s="185"/>
      <c r="E4" s="185">
        <v>798222</v>
      </c>
      <c r="F4" s="240">
        <v>798222</v>
      </c>
      <c r="G4" s="192">
        <v>777946</v>
      </c>
      <c r="H4" s="173">
        <v>799316</v>
      </c>
      <c r="I4" s="173">
        <v>663377</v>
      </c>
      <c r="J4" s="173">
        <v>733929</v>
      </c>
      <c r="K4" s="173">
        <v>712407</v>
      </c>
      <c r="L4" s="173">
        <v>706091</v>
      </c>
    </row>
    <row r="5" spans="1:12" ht="15" x14ac:dyDescent="0.25">
      <c r="A5" s="110" t="s">
        <v>427</v>
      </c>
      <c r="B5" s="89" t="s">
        <v>430</v>
      </c>
      <c r="C5" s="185">
        <v>0</v>
      </c>
      <c r="D5" s="173"/>
      <c r="E5" s="185"/>
      <c r="F5" s="240"/>
      <c r="G5" s="173"/>
      <c r="H5" s="173"/>
      <c r="I5" s="173"/>
      <c r="J5" s="173"/>
      <c r="K5" s="173"/>
      <c r="L5" s="173"/>
    </row>
    <row r="6" spans="1:12" ht="15" x14ac:dyDescent="0.25">
      <c r="A6" s="110" t="s">
        <v>428</v>
      </c>
      <c r="B6" s="89" t="s">
        <v>431</v>
      </c>
      <c r="C6" s="185">
        <v>0</v>
      </c>
      <c r="D6" s="173"/>
      <c r="E6" s="185"/>
      <c r="F6" s="240"/>
      <c r="G6" s="173"/>
      <c r="H6" s="173"/>
      <c r="I6" s="173"/>
      <c r="J6" s="173"/>
      <c r="K6" s="173"/>
      <c r="L6" s="173"/>
    </row>
    <row r="7" spans="1:12" ht="15" x14ac:dyDescent="0.25">
      <c r="A7" s="110" t="s">
        <v>429</v>
      </c>
      <c r="B7" s="89" t="s">
        <v>432</v>
      </c>
      <c r="C7" s="185">
        <v>0</v>
      </c>
      <c r="D7" s="173"/>
      <c r="E7" s="185"/>
      <c r="F7" s="240"/>
      <c r="G7" s="173"/>
      <c r="H7" s="173"/>
      <c r="I7" s="173"/>
      <c r="J7" s="173"/>
      <c r="K7" s="173"/>
      <c r="L7" s="173"/>
    </row>
    <row r="8" spans="1:12" ht="15" x14ac:dyDescent="0.25">
      <c r="A8" s="110" t="s">
        <v>433</v>
      </c>
      <c r="B8" s="89" t="s">
        <v>434</v>
      </c>
      <c r="C8" s="185">
        <v>0</v>
      </c>
      <c r="D8" s="173"/>
      <c r="E8" s="185"/>
      <c r="F8" s="240"/>
      <c r="G8" s="173"/>
      <c r="H8" s="173"/>
      <c r="I8" s="173"/>
      <c r="J8" s="173"/>
      <c r="K8" s="173"/>
      <c r="L8" s="173"/>
    </row>
    <row r="9" spans="1:12" ht="15" x14ac:dyDescent="0.25">
      <c r="A9" s="95"/>
      <c r="B9" s="107"/>
      <c r="C9" s="187">
        <f>SUM(C4:C8)</f>
        <v>1577725</v>
      </c>
      <c r="D9" s="173"/>
      <c r="E9" s="187">
        <f t="shared" ref="E9:L9" si="0">SUM(E4:E8)</f>
        <v>798222</v>
      </c>
      <c r="F9" s="254">
        <f t="shared" si="0"/>
        <v>798222</v>
      </c>
      <c r="G9" s="187">
        <f t="shared" si="0"/>
        <v>777946</v>
      </c>
      <c r="H9" s="187">
        <f t="shared" si="0"/>
        <v>799316</v>
      </c>
      <c r="I9" s="187">
        <f t="shared" si="0"/>
        <v>663377</v>
      </c>
      <c r="J9" s="187">
        <f t="shared" si="0"/>
        <v>733929</v>
      </c>
      <c r="K9" s="187">
        <f t="shared" si="0"/>
        <v>712407</v>
      </c>
      <c r="L9" s="187">
        <f t="shared" si="0"/>
        <v>706091</v>
      </c>
    </row>
    <row r="10" spans="1:12" ht="15" x14ac:dyDescent="0.25">
      <c r="A10" s="95"/>
      <c r="B10" s="107"/>
      <c r="C10" s="185"/>
      <c r="D10" s="173"/>
      <c r="E10" s="185"/>
      <c r="F10" s="240"/>
      <c r="G10" s="173"/>
      <c r="H10" s="173"/>
      <c r="I10" s="173"/>
      <c r="J10" s="173"/>
      <c r="K10" s="173"/>
      <c r="L10" s="173"/>
    </row>
    <row r="11" spans="1:12" ht="15" x14ac:dyDescent="0.25">
      <c r="A11" s="95" t="s">
        <v>266</v>
      </c>
      <c r="B11" s="111" t="s">
        <v>450</v>
      </c>
      <c r="C11" s="185">
        <v>106825</v>
      </c>
      <c r="D11" s="188">
        <v>75000</v>
      </c>
      <c r="E11" s="185">
        <v>105000</v>
      </c>
      <c r="F11" s="240">
        <v>120000</v>
      </c>
      <c r="G11" s="173">
        <f>SUM(F11*1.02)</f>
        <v>122400</v>
      </c>
      <c r="H11" s="173">
        <f t="shared" ref="H11:L11" si="1">SUM(G11*1.02)</f>
        <v>124848</v>
      </c>
      <c r="I11" s="173">
        <f t="shared" si="1"/>
        <v>127344.96000000001</v>
      </c>
      <c r="J11" s="173">
        <f t="shared" si="1"/>
        <v>129891.85920000001</v>
      </c>
      <c r="K11" s="173">
        <f t="shared" si="1"/>
        <v>132489.69638400001</v>
      </c>
      <c r="L11" s="173">
        <f t="shared" si="1"/>
        <v>135139.49031168001</v>
      </c>
    </row>
    <row r="12" spans="1:12" ht="15" x14ac:dyDescent="0.25">
      <c r="A12" s="95" t="s">
        <v>267</v>
      </c>
      <c r="B12" s="111" t="s">
        <v>451</v>
      </c>
      <c r="C12" s="185">
        <v>59592</v>
      </c>
      <c r="D12" s="188">
        <v>39000</v>
      </c>
      <c r="E12" s="185">
        <v>53000</v>
      </c>
      <c r="F12" s="240">
        <v>55000</v>
      </c>
      <c r="G12" s="173">
        <f>SUM(F12*1.08)</f>
        <v>59400.000000000007</v>
      </c>
      <c r="H12" s="173">
        <f>SUM(G12*1.08)</f>
        <v>64152.000000000015</v>
      </c>
      <c r="I12" s="173">
        <f t="shared" ref="I12:L13" si="2">SUM(H12*1.05)</f>
        <v>67359.60000000002</v>
      </c>
      <c r="J12" s="173">
        <f>SUM(I12*1.05)</f>
        <v>70727.580000000031</v>
      </c>
      <c r="K12" s="173">
        <f t="shared" si="2"/>
        <v>74263.959000000032</v>
      </c>
      <c r="L12" s="173">
        <f t="shared" si="2"/>
        <v>77977.156950000033</v>
      </c>
    </row>
    <row r="13" spans="1:12" ht="15" x14ac:dyDescent="0.25">
      <c r="A13" s="95" t="s">
        <v>268</v>
      </c>
      <c r="B13" s="112" t="s">
        <v>424</v>
      </c>
      <c r="C13" s="185">
        <v>34395</v>
      </c>
      <c r="D13" s="185">
        <v>22000</v>
      </c>
      <c r="E13" s="185">
        <v>7000</v>
      </c>
      <c r="F13" s="240">
        <v>20000</v>
      </c>
      <c r="G13" s="173">
        <f>SUM(F13*1.05)</f>
        <v>21000</v>
      </c>
      <c r="H13" s="173">
        <f>SUM(G13*1.05)</f>
        <v>22050</v>
      </c>
      <c r="I13" s="173">
        <f t="shared" si="2"/>
        <v>23152.5</v>
      </c>
      <c r="J13" s="173">
        <f t="shared" si="2"/>
        <v>24310.125</v>
      </c>
      <c r="K13" s="173">
        <f t="shared" si="2"/>
        <v>25525.631250000002</v>
      </c>
      <c r="L13" s="173">
        <f t="shared" si="2"/>
        <v>26801.912812500002</v>
      </c>
    </row>
    <row r="14" spans="1:12" ht="15" x14ac:dyDescent="0.25">
      <c r="A14" s="95" t="s">
        <v>269</v>
      </c>
      <c r="B14" s="111" t="s">
        <v>130</v>
      </c>
      <c r="C14" s="185">
        <v>81852</v>
      </c>
      <c r="D14" s="185">
        <v>23750</v>
      </c>
      <c r="E14" s="185">
        <v>23750</v>
      </c>
      <c r="F14" s="240">
        <v>0</v>
      </c>
      <c r="G14" s="173">
        <v>0</v>
      </c>
      <c r="H14" s="173">
        <v>0</v>
      </c>
      <c r="I14" s="173">
        <v>0</v>
      </c>
      <c r="J14" s="173">
        <v>0</v>
      </c>
      <c r="K14" s="173">
        <v>0</v>
      </c>
      <c r="L14" s="173">
        <v>0</v>
      </c>
    </row>
    <row r="15" spans="1:12" ht="15" x14ac:dyDescent="0.25">
      <c r="A15" s="95" t="s">
        <v>270</v>
      </c>
      <c r="B15" s="111" t="s">
        <v>131</v>
      </c>
      <c r="C15" s="185">
        <v>53423</v>
      </c>
      <c r="D15" s="185">
        <v>25880</v>
      </c>
      <c r="E15" s="185">
        <v>51000</v>
      </c>
      <c r="F15" s="240">
        <v>54000</v>
      </c>
      <c r="G15" s="173">
        <f>SUM(F15*1.08)</f>
        <v>58320.000000000007</v>
      </c>
      <c r="H15" s="173">
        <f>SUM(G15*1.08)</f>
        <v>62985.600000000013</v>
      </c>
      <c r="I15" s="173">
        <f>SUM(H15*1.05)</f>
        <v>66134.880000000019</v>
      </c>
      <c r="J15" s="173">
        <f>SUM(I15*1.05)</f>
        <v>69441.624000000025</v>
      </c>
      <c r="K15" s="173">
        <f>SUM(J15*1.05)</f>
        <v>72913.705200000026</v>
      </c>
      <c r="L15" s="173">
        <f>SUM(K15*1.05)</f>
        <v>76559.390460000024</v>
      </c>
    </row>
    <row r="16" spans="1:12" ht="15" x14ac:dyDescent="0.25">
      <c r="A16" s="95" t="s">
        <v>326</v>
      </c>
      <c r="B16" s="111" t="s">
        <v>195</v>
      </c>
      <c r="C16" s="185">
        <v>0</v>
      </c>
      <c r="D16" s="185">
        <v>0</v>
      </c>
      <c r="E16" s="185">
        <v>0</v>
      </c>
      <c r="F16" s="240">
        <v>0</v>
      </c>
      <c r="G16" s="173">
        <v>0</v>
      </c>
      <c r="H16" s="173">
        <v>0</v>
      </c>
      <c r="I16" s="173">
        <v>0</v>
      </c>
      <c r="J16" s="173">
        <v>0</v>
      </c>
      <c r="K16" s="173">
        <v>0</v>
      </c>
      <c r="L16" s="173">
        <v>0</v>
      </c>
    </row>
    <row r="17" spans="1:233" ht="15" x14ac:dyDescent="0.25">
      <c r="A17" s="95"/>
      <c r="B17" s="111"/>
      <c r="C17" s="187">
        <f>SUM(C11:C16)</f>
        <v>336087</v>
      </c>
      <c r="D17" s="185"/>
      <c r="E17" s="187">
        <f t="shared" ref="E17:L17" si="3">SUM(E11:E16)</f>
        <v>239750</v>
      </c>
      <c r="F17" s="254">
        <f t="shared" si="3"/>
        <v>249000</v>
      </c>
      <c r="G17" s="187">
        <f t="shared" si="3"/>
        <v>261120</v>
      </c>
      <c r="H17" s="187">
        <f t="shared" si="3"/>
        <v>274035.60000000003</v>
      </c>
      <c r="I17" s="187">
        <f t="shared" si="3"/>
        <v>283991.94000000006</v>
      </c>
      <c r="J17" s="187">
        <f t="shared" si="3"/>
        <v>294371.18820000003</v>
      </c>
      <c r="K17" s="187">
        <f t="shared" si="3"/>
        <v>305192.9918340001</v>
      </c>
      <c r="L17" s="187">
        <f t="shared" si="3"/>
        <v>316477.95053418004</v>
      </c>
    </row>
    <row r="18" spans="1:233" ht="15" x14ac:dyDescent="0.25">
      <c r="A18" s="95"/>
      <c r="B18" s="111"/>
      <c r="C18" s="185"/>
      <c r="D18" s="185"/>
      <c r="E18" s="185"/>
      <c r="F18" s="240"/>
      <c r="G18" s="173"/>
      <c r="H18" s="173"/>
      <c r="I18" s="173"/>
      <c r="J18" s="173"/>
      <c r="K18" s="173"/>
      <c r="L18" s="173"/>
    </row>
    <row r="19" spans="1:233" ht="15" x14ac:dyDescent="0.25">
      <c r="A19" s="95" t="s">
        <v>271</v>
      </c>
      <c r="B19" s="111" t="s">
        <v>135</v>
      </c>
      <c r="C19" s="185">
        <v>24943.759999999998</v>
      </c>
      <c r="D19" s="170">
        <v>14150</v>
      </c>
      <c r="E19" s="185">
        <v>20000</v>
      </c>
      <c r="F19" s="240">
        <f t="shared" ref="F19:L19" si="4">SUM(F17*0.08)</f>
        <v>19920</v>
      </c>
      <c r="G19" s="185">
        <f t="shared" si="4"/>
        <v>20889.600000000002</v>
      </c>
      <c r="H19" s="185">
        <f t="shared" si="4"/>
        <v>21922.848000000002</v>
      </c>
      <c r="I19" s="185">
        <f t="shared" si="4"/>
        <v>22719.355200000005</v>
      </c>
      <c r="J19" s="185">
        <f t="shared" si="4"/>
        <v>23549.695056000004</v>
      </c>
      <c r="K19" s="185">
        <f t="shared" si="4"/>
        <v>24415.43934672001</v>
      </c>
      <c r="L19" s="185">
        <f t="shared" si="4"/>
        <v>25318.236042734403</v>
      </c>
    </row>
    <row r="20" spans="1:233" ht="15" x14ac:dyDescent="0.25">
      <c r="A20" s="95" t="s">
        <v>272</v>
      </c>
      <c r="B20" s="111" t="s">
        <v>138</v>
      </c>
      <c r="C20" s="185">
        <v>1358.78</v>
      </c>
      <c r="D20" s="170">
        <v>870</v>
      </c>
      <c r="E20" s="185">
        <v>1700</v>
      </c>
      <c r="F20" s="240">
        <f t="shared" ref="F20:L20" si="5">SUM(F17*0.005)</f>
        <v>1245</v>
      </c>
      <c r="G20" s="185">
        <f t="shared" si="5"/>
        <v>1305.6000000000001</v>
      </c>
      <c r="H20" s="185">
        <f t="shared" si="5"/>
        <v>1370.1780000000001</v>
      </c>
      <c r="I20" s="185">
        <f t="shared" si="5"/>
        <v>1419.9597000000003</v>
      </c>
      <c r="J20" s="185">
        <f t="shared" si="5"/>
        <v>1471.8559410000003</v>
      </c>
      <c r="K20" s="185">
        <f t="shared" si="5"/>
        <v>1525.9649591700006</v>
      </c>
      <c r="L20" s="185">
        <f t="shared" si="5"/>
        <v>1582.3897526709002</v>
      </c>
    </row>
    <row r="21" spans="1:233" ht="15" customHeight="1" x14ac:dyDescent="0.25">
      <c r="A21" s="95" t="s">
        <v>273</v>
      </c>
      <c r="B21" s="111" t="s">
        <v>558</v>
      </c>
      <c r="C21" s="189">
        <v>25874.17</v>
      </c>
      <c r="D21" s="191">
        <v>19730</v>
      </c>
      <c r="E21" s="185">
        <v>29000</v>
      </c>
      <c r="F21" s="240">
        <f t="shared" ref="F21:L21" si="6">SUM(F17)*(0.08)</f>
        <v>19920</v>
      </c>
      <c r="G21" s="185">
        <f t="shared" si="6"/>
        <v>20889.600000000002</v>
      </c>
      <c r="H21" s="185">
        <f t="shared" si="6"/>
        <v>21922.848000000002</v>
      </c>
      <c r="I21" s="185">
        <f t="shared" si="6"/>
        <v>22719.355200000005</v>
      </c>
      <c r="J21" s="185">
        <f t="shared" si="6"/>
        <v>23549.695056000004</v>
      </c>
      <c r="K21" s="185">
        <f t="shared" si="6"/>
        <v>24415.43934672001</v>
      </c>
      <c r="L21" s="185">
        <f t="shared" si="6"/>
        <v>25318.236042734403</v>
      </c>
    </row>
    <row r="22" spans="1:233" ht="15" x14ac:dyDescent="0.25">
      <c r="A22" s="95" t="s">
        <v>274</v>
      </c>
      <c r="B22" s="111" t="s">
        <v>143</v>
      </c>
      <c r="C22" s="185">
        <v>4301</v>
      </c>
      <c r="D22" s="170">
        <v>369</v>
      </c>
      <c r="E22" s="185">
        <v>100</v>
      </c>
      <c r="F22" s="240">
        <v>0</v>
      </c>
      <c r="G22" s="173">
        <v>0</v>
      </c>
      <c r="H22" s="173">
        <v>0</v>
      </c>
      <c r="I22" s="173">
        <v>0</v>
      </c>
      <c r="J22" s="173">
        <v>0</v>
      </c>
      <c r="K22" s="173">
        <v>0</v>
      </c>
      <c r="L22" s="173">
        <v>0</v>
      </c>
    </row>
    <row r="23" spans="1:233" ht="15" x14ac:dyDescent="0.25">
      <c r="A23" s="95" t="s">
        <v>275</v>
      </c>
      <c r="B23" s="111" t="s">
        <v>191</v>
      </c>
      <c r="C23" s="185">
        <v>2220</v>
      </c>
      <c r="D23" s="170">
        <v>89</v>
      </c>
      <c r="E23" s="185">
        <v>0</v>
      </c>
      <c r="F23" s="240"/>
      <c r="G23" s="173">
        <v>0</v>
      </c>
      <c r="H23" s="173">
        <v>0</v>
      </c>
      <c r="I23" s="173">
        <v>0</v>
      </c>
      <c r="J23" s="173">
        <v>0</v>
      </c>
      <c r="K23" s="173">
        <v>0</v>
      </c>
      <c r="L23" s="173">
        <v>0</v>
      </c>
    </row>
    <row r="24" spans="1:233" ht="15" x14ac:dyDescent="0.25">
      <c r="A24" s="95" t="s">
        <v>276</v>
      </c>
      <c r="B24" s="111" t="s">
        <v>147</v>
      </c>
      <c r="C24" s="185">
        <v>62285</v>
      </c>
      <c r="D24" s="170">
        <v>25720</v>
      </c>
      <c r="E24" s="185">
        <v>34700</v>
      </c>
      <c r="F24" s="240">
        <f t="shared" ref="F24" si="7">E24*1.05</f>
        <v>36435</v>
      </c>
      <c r="G24" s="185">
        <f>F24*1.03</f>
        <v>37528.050000000003</v>
      </c>
      <c r="H24" s="185">
        <f t="shared" ref="H24:L24" si="8">G24*1.03</f>
        <v>38653.891500000005</v>
      </c>
      <c r="I24" s="185">
        <f t="shared" si="8"/>
        <v>39813.508245000005</v>
      </c>
      <c r="J24" s="185">
        <f t="shared" si="8"/>
        <v>41007.913492350002</v>
      </c>
      <c r="K24" s="185">
        <f t="shared" si="8"/>
        <v>42238.150897120504</v>
      </c>
      <c r="L24" s="185">
        <f t="shared" si="8"/>
        <v>43505.295424034121</v>
      </c>
    </row>
    <row r="25" spans="1:233" ht="15" x14ac:dyDescent="0.25">
      <c r="A25" s="95" t="s">
        <v>277</v>
      </c>
      <c r="B25" s="111" t="s">
        <v>146</v>
      </c>
      <c r="C25" s="185">
        <v>4714</v>
      </c>
      <c r="D25" s="170">
        <v>2680</v>
      </c>
      <c r="E25" s="185">
        <v>3600</v>
      </c>
      <c r="F25" s="240">
        <v>6000</v>
      </c>
      <c r="G25" s="185">
        <v>6000</v>
      </c>
      <c r="H25" s="185">
        <v>6000</v>
      </c>
      <c r="I25" s="185">
        <v>6000</v>
      </c>
      <c r="J25" s="185">
        <v>6000</v>
      </c>
      <c r="K25" s="185">
        <v>6000</v>
      </c>
      <c r="L25" s="185">
        <v>6000</v>
      </c>
    </row>
    <row r="26" spans="1:233" ht="15" x14ac:dyDescent="0.25">
      <c r="A26" s="113" t="s">
        <v>523</v>
      </c>
      <c r="B26" s="114" t="s">
        <v>145</v>
      </c>
      <c r="C26" s="185">
        <v>5215</v>
      </c>
      <c r="D26" s="170">
        <v>7030</v>
      </c>
      <c r="E26" s="185">
        <v>6000</v>
      </c>
      <c r="F26" s="240">
        <v>9000</v>
      </c>
      <c r="G26" s="173">
        <f>SUM(F26*1.05)</f>
        <v>9450</v>
      </c>
      <c r="H26" s="173">
        <f t="shared" ref="H26:L26" si="9">SUM(G26*1.05)</f>
        <v>9922.5</v>
      </c>
      <c r="I26" s="173">
        <f t="shared" si="9"/>
        <v>10418.625</v>
      </c>
      <c r="J26" s="173">
        <f t="shared" si="9"/>
        <v>10939.55625</v>
      </c>
      <c r="K26" s="173">
        <f t="shared" si="9"/>
        <v>11486.534062500001</v>
      </c>
      <c r="L26" s="173">
        <f t="shared" si="9"/>
        <v>12060.860765625001</v>
      </c>
    </row>
    <row r="27" spans="1:233" ht="15" x14ac:dyDescent="0.25">
      <c r="A27" s="95" t="s">
        <v>352</v>
      </c>
      <c r="B27" s="114" t="s">
        <v>353</v>
      </c>
      <c r="C27" s="185">
        <v>0</v>
      </c>
      <c r="D27" s="170">
        <v>0</v>
      </c>
      <c r="E27" s="185">
        <v>0</v>
      </c>
      <c r="F27" s="240">
        <v>0</v>
      </c>
      <c r="G27" s="173">
        <v>0</v>
      </c>
      <c r="H27" s="173">
        <v>0</v>
      </c>
      <c r="I27" s="173">
        <v>0</v>
      </c>
      <c r="J27" s="173">
        <v>0</v>
      </c>
      <c r="K27" s="173">
        <v>0</v>
      </c>
      <c r="L27" s="173">
        <v>0</v>
      </c>
    </row>
    <row r="28" spans="1:233" ht="15" x14ac:dyDescent="0.25">
      <c r="A28" s="95" t="s">
        <v>278</v>
      </c>
      <c r="B28" s="111" t="s">
        <v>148</v>
      </c>
      <c r="C28" s="185">
        <v>13421</v>
      </c>
      <c r="D28" s="170">
        <v>6065</v>
      </c>
      <c r="E28" s="185">
        <v>10800</v>
      </c>
      <c r="F28" s="240">
        <v>13000</v>
      </c>
      <c r="G28" s="173">
        <f>SUM(F28*1.03)</f>
        <v>13390</v>
      </c>
      <c r="H28" s="173">
        <f t="shared" ref="H28:L28" si="10">SUM(G28*1.03)</f>
        <v>13791.7</v>
      </c>
      <c r="I28" s="173">
        <f t="shared" si="10"/>
        <v>14205.451000000001</v>
      </c>
      <c r="J28" s="173">
        <f t="shared" si="10"/>
        <v>14631.614530000001</v>
      </c>
      <c r="K28" s="173">
        <f t="shared" si="10"/>
        <v>15070.562965900001</v>
      </c>
      <c r="L28" s="173">
        <f t="shared" si="10"/>
        <v>15522.679854877</v>
      </c>
    </row>
    <row r="29" spans="1:233" ht="15" x14ac:dyDescent="0.25">
      <c r="A29" s="95" t="s">
        <v>279</v>
      </c>
      <c r="B29" s="111" t="s">
        <v>202</v>
      </c>
      <c r="C29" s="185">
        <v>493</v>
      </c>
      <c r="D29" s="170">
        <v>275</v>
      </c>
      <c r="E29" s="185">
        <v>300</v>
      </c>
      <c r="F29" s="240">
        <v>600</v>
      </c>
      <c r="G29" s="173">
        <f t="shared" ref="G29:L29" si="11">SUM(G17*0.0015)</f>
        <v>391.68</v>
      </c>
      <c r="H29" s="173">
        <f t="shared" si="11"/>
        <v>411.05340000000007</v>
      </c>
      <c r="I29" s="173">
        <f t="shared" si="11"/>
        <v>425.98791000000011</v>
      </c>
      <c r="J29" s="173">
        <f t="shared" si="11"/>
        <v>441.55678230000007</v>
      </c>
      <c r="K29" s="173">
        <f t="shared" si="11"/>
        <v>457.78948775100014</v>
      </c>
      <c r="L29" s="173">
        <f t="shared" si="11"/>
        <v>474.71692580127007</v>
      </c>
    </row>
    <row r="30" spans="1:233" s="84" customFormat="1" ht="15" x14ac:dyDescent="0.25">
      <c r="A30" s="95" t="s">
        <v>280</v>
      </c>
      <c r="B30" s="115" t="s">
        <v>149</v>
      </c>
      <c r="C30" s="172">
        <v>0</v>
      </c>
      <c r="D30" s="172">
        <v>0</v>
      </c>
      <c r="E30" s="172">
        <v>0</v>
      </c>
      <c r="F30" s="276">
        <v>0</v>
      </c>
      <c r="G30" s="174">
        <v>0</v>
      </c>
      <c r="H30" s="174">
        <v>0</v>
      </c>
      <c r="I30" s="174">
        <v>0</v>
      </c>
      <c r="J30" s="174">
        <v>0</v>
      </c>
      <c r="K30" s="174">
        <v>0</v>
      </c>
      <c r="L30" s="174">
        <v>0</v>
      </c>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83"/>
      <c r="FM30" s="83"/>
      <c r="FN30" s="83"/>
      <c r="FO30" s="83"/>
      <c r="FP30" s="83"/>
      <c r="FQ30" s="83"/>
      <c r="FR30" s="83"/>
      <c r="FS30" s="83"/>
      <c r="FT30" s="83"/>
      <c r="FU30" s="83"/>
      <c r="FV30" s="83"/>
      <c r="FW30" s="83"/>
      <c r="FX30" s="83"/>
      <c r="FY30" s="83"/>
      <c r="FZ30" s="83"/>
      <c r="GA30" s="83"/>
      <c r="GB30" s="83"/>
      <c r="GC30" s="83"/>
      <c r="GD30" s="83"/>
      <c r="GE30" s="83"/>
      <c r="GF30" s="83"/>
      <c r="GG30" s="83"/>
      <c r="GH30" s="83"/>
      <c r="GI30" s="83"/>
      <c r="GJ30" s="83"/>
      <c r="GK30" s="83"/>
      <c r="GL30" s="83"/>
      <c r="GM30" s="83"/>
      <c r="GN30" s="83"/>
      <c r="GO30" s="83"/>
      <c r="GP30" s="83"/>
      <c r="GQ30" s="83"/>
      <c r="GR30" s="83"/>
      <c r="GS30" s="83"/>
      <c r="GT30" s="83"/>
      <c r="GU30" s="83"/>
      <c r="GV30" s="83"/>
      <c r="GW30" s="83"/>
      <c r="GX30" s="83"/>
      <c r="GY30" s="83"/>
      <c r="GZ30" s="83"/>
      <c r="HA30" s="83"/>
      <c r="HB30" s="83"/>
      <c r="HC30" s="83"/>
      <c r="HD30" s="83"/>
      <c r="HE30" s="83"/>
      <c r="HF30" s="83"/>
      <c r="HG30" s="83"/>
      <c r="HH30" s="83"/>
      <c r="HI30" s="83"/>
      <c r="HJ30" s="83"/>
      <c r="HK30" s="83"/>
      <c r="HL30" s="83"/>
      <c r="HM30" s="83"/>
      <c r="HN30" s="83"/>
      <c r="HO30" s="83"/>
      <c r="HP30" s="83"/>
      <c r="HQ30" s="83"/>
      <c r="HR30" s="83"/>
      <c r="HS30" s="83"/>
      <c r="HT30" s="83"/>
      <c r="HU30" s="83"/>
      <c r="HV30" s="83"/>
      <c r="HW30" s="83"/>
      <c r="HX30" s="83"/>
      <c r="HY30" s="83"/>
    </row>
    <row r="31" spans="1:233" ht="15" x14ac:dyDescent="0.25">
      <c r="A31" s="95" t="s">
        <v>281</v>
      </c>
      <c r="B31" s="111" t="s">
        <v>150</v>
      </c>
      <c r="C31" s="185">
        <v>7380</v>
      </c>
      <c r="D31" s="170">
        <v>4340</v>
      </c>
      <c r="E31" s="185">
        <v>6100</v>
      </c>
      <c r="F31" s="240">
        <v>7500</v>
      </c>
      <c r="G31" s="173">
        <v>7500</v>
      </c>
      <c r="H31" s="173">
        <v>7500</v>
      </c>
      <c r="I31" s="173">
        <v>7500</v>
      </c>
      <c r="J31" s="173">
        <v>7500</v>
      </c>
      <c r="K31" s="173">
        <v>7500</v>
      </c>
      <c r="L31" s="173">
        <v>7500</v>
      </c>
    </row>
    <row r="32" spans="1:233" ht="15" x14ac:dyDescent="0.25">
      <c r="A32" s="95" t="s">
        <v>327</v>
      </c>
      <c r="B32" s="111" t="s">
        <v>203</v>
      </c>
      <c r="C32" s="185">
        <v>124</v>
      </c>
      <c r="D32" s="170">
        <v>320</v>
      </c>
      <c r="E32" s="185">
        <v>325</v>
      </c>
      <c r="F32" s="240">
        <v>500</v>
      </c>
      <c r="G32" s="173">
        <f t="shared" ref="G32:L32" si="12">SUM(F32*1.05)</f>
        <v>525</v>
      </c>
      <c r="H32" s="173">
        <f t="shared" si="12"/>
        <v>551.25</v>
      </c>
      <c r="I32" s="173">
        <f t="shared" si="12"/>
        <v>578.8125</v>
      </c>
      <c r="J32" s="173">
        <f t="shared" si="12"/>
        <v>607.75312500000007</v>
      </c>
      <c r="K32" s="173">
        <f t="shared" si="12"/>
        <v>638.14078125000015</v>
      </c>
      <c r="L32" s="173">
        <f t="shared" si="12"/>
        <v>670.04782031250022</v>
      </c>
    </row>
    <row r="33" spans="1:12" ht="15" x14ac:dyDescent="0.25">
      <c r="A33" s="95" t="s">
        <v>354</v>
      </c>
      <c r="B33" s="111" t="s">
        <v>355</v>
      </c>
      <c r="C33" s="185">
        <v>0</v>
      </c>
      <c r="D33" s="185">
        <v>0</v>
      </c>
      <c r="E33" s="185">
        <v>0</v>
      </c>
      <c r="F33" s="240">
        <v>0</v>
      </c>
      <c r="G33" s="173">
        <v>0</v>
      </c>
      <c r="H33" s="173">
        <v>0</v>
      </c>
      <c r="I33" s="173">
        <v>0</v>
      </c>
      <c r="J33" s="173">
        <v>0</v>
      </c>
      <c r="K33" s="173">
        <v>0</v>
      </c>
      <c r="L33" s="173">
        <v>0</v>
      </c>
    </row>
    <row r="34" spans="1:12" ht="15" x14ac:dyDescent="0.25">
      <c r="A34" s="95"/>
      <c r="B34" s="111"/>
      <c r="C34" s="187">
        <v>152334</v>
      </c>
      <c r="D34" s="185"/>
      <c r="E34" s="187">
        <f t="shared" ref="E34:L34" si="13">SUM(E19:E33)</f>
        <v>112625</v>
      </c>
      <c r="F34" s="254">
        <f t="shared" si="13"/>
        <v>114120</v>
      </c>
      <c r="G34" s="187">
        <f t="shared" si="13"/>
        <v>117869.53</v>
      </c>
      <c r="H34" s="187">
        <f t="shared" si="13"/>
        <v>122046.26890000001</v>
      </c>
      <c r="I34" s="187">
        <f t="shared" si="13"/>
        <v>125801.05475500002</v>
      </c>
      <c r="J34" s="187">
        <f t="shared" si="13"/>
        <v>129699.64023265001</v>
      </c>
      <c r="K34" s="187">
        <f t="shared" si="13"/>
        <v>133748.02184713152</v>
      </c>
      <c r="L34" s="187">
        <f t="shared" si="13"/>
        <v>137952.4626287896</v>
      </c>
    </row>
    <row r="35" spans="1:12" ht="15" x14ac:dyDescent="0.25">
      <c r="A35" s="95"/>
      <c r="B35" s="111"/>
      <c r="C35" s="185"/>
      <c r="D35" s="185"/>
      <c r="E35" s="185"/>
      <c r="F35" s="240"/>
      <c r="G35" s="173"/>
      <c r="H35" s="173"/>
      <c r="I35" s="173"/>
      <c r="J35" s="173"/>
      <c r="K35" s="173"/>
      <c r="L35" s="173"/>
    </row>
    <row r="36" spans="1:12" ht="15" x14ac:dyDescent="0.25">
      <c r="A36" s="95" t="s">
        <v>356</v>
      </c>
      <c r="B36" s="111" t="s">
        <v>454</v>
      </c>
      <c r="C36" s="185">
        <v>0</v>
      </c>
      <c r="D36" s="185"/>
      <c r="E36" s="185">
        <v>0</v>
      </c>
      <c r="F36" s="240">
        <v>0</v>
      </c>
      <c r="G36" s="173">
        <v>0</v>
      </c>
      <c r="H36" s="173">
        <v>0</v>
      </c>
      <c r="I36" s="173">
        <v>0</v>
      </c>
      <c r="J36" s="173">
        <v>0</v>
      </c>
      <c r="K36" s="173">
        <v>0</v>
      </c>
      <c r="L36" s="173">
        <v>0</v>
      </c>
    </row>
    <row r="37" spans="1:12" ht="15" x14ac:dyDescent="0.25">
      <c r="A37" s="95"/>
      <c r="B37" s="111"/>
      <c r="C37" s="187">
        <v>0</v>
      </c>
      <c r="D37" s="185"/>
      <c r="E37" s="185">
        <v>0</v>
      </c>
      <c r="F37" s="240">
        <v>0</v>
      </c>
      <c r="G37" s="173">
        <f t="shared" ref="G37:L37" si="14">SUM(G36)</f>
        <v>0</v>
      </c>
      <c r="H37" s="173">
        <f t="shared" si="14"/>
        <v>0</v>
      </c>
      <c r="I37" s="173">
        <f t="shared" si="14"/>
        <v>0</v>
      </c>
      <c r="J37" s="173">
        <f t="shared" si="14"/>
        <v>0</v>
      </c>
      <c r="K37" s="173">
        <f t="shared" si="14"/>
        <v>0</v>
      </c>
      <c r="L37" s="173">
        <f t="shared" si="14"/>
        <v>0</v>
      </c>
    </row>
    <row r="38" spans="1:12" ht="15" x14ac:dyDescent="0.25">
      <c r="A38" s="95"/>
      <c r="B38" s="111"/>
      <c r="C38" s="185"/>
      <c r="D38" s="185"/>
      <c r="E38" s="185"/>
      <c r="F38" s="240"/>
      <c r="G38" s="173"/>
      <c r="H38" s="173"/>
      <c r="I38" s="173"/>
      <c r="J38" s="173"/>
      <c r="K38" s="173"/>
      <c r="L38" s="173"/>
    </row>
    <row r="39" spans="1:12" ht="15" x14ac:dyDescent="0.25">
      <c r="A39" s="116" t="s">
        <v>209</v>
      </c>
      <c r="B39" s="117" t="s">
        <v>40</v>
      </c>
      <c r="C39" s="172">
        <v>3119</v>
      </c>
      <c r="D39" s="172">
        <v>3150</v>
      </c>
      <c r="E39" s="185">
        <v>5000</v>
      </c>
      <c r="F39" s="240">
        <v>5000</v>
      </c>
      <c r="G39" s="173">
        <f>SUM(F39*1.05)</f>
        <v>5250</v>
      </c>
      <c r="H39" s="173">
        <f t="shared" ref="H39:L39" si="15">SUM(G39*1.05)</f>
        <v>5512.5</v>
      </c>
      <c r="I39" s="173">
        <f t="shared" si="15"/>
        <v>5788.125</v>
      </c>
      <c r="J39" s="173">
        <f t="shared" si="15"/>
        <v>6077.53125</v>
      </c>
      <c r="K39" s="173">
        <f t="shared" si="15"/>
        <v>6381.4078125000005</v>
      </c>
      <c r="L39" s="173">
        <f t="shared" si="15"/>
        <v>6700.4782031250006</v>
      </c>
    </row>
    <row r="40" spans="1:12" ht="15" x14ac:dyDescent="0.25">
      <c r="A40" s="116" t="s">
        <v>208</v>
      </c>
      <c r="B40" s="118" t="s">
        <v>163</v>
      </c>
      <c r="C40" s="172">
        <v>3328</v>
      </c>
      <c r="D40" s="185">
        <v>16</v>
      </c>
      <c r="E40" s="185">
        <v>3000</v>
      </c>
      <c r="F40" s="240">
        <v>3000</v>
      </c>
      <c r="G40" s="173">
        <v>3000</v>
      </c>
      <c r="H40" s="173">
        <f>SUM(G40*1.05)</f>
        <v>3150</v>
      </c>
      <c r="I40" s="173">
        <f t="shared" ref="I40:L40" si="16">SUM(H40*1.05)</f>
        <v>3307.5</v>
      </c>
      <c r="J40" s="173">
        <f t="shared" si="16"/>
        <v>3472.875</v>
      </c>
      <c r="K40" s="173">
        <f t="shared" si="16"/>
        <v>3646.5187500000002</v>
      </c>
      <c r="L40" s="173">
        <f t="shared" si="16"/>
        <v>3828.8446875000004</v>
      </c>
    </row>
    <row r="41" spans="1:12" ht="15" x14ac:dyDescent="0.25">
      <c r="A41" s="116"/>
      <c r="B41" s="118"/>
      <c r="C41" s="190">
        <v>6448</v>
      </c>
      <c r="D41" s="172"/>
      <c r="E41" s="187">
        <f t="shared" ref="E41:L41" si="17">SUM(E39:E40)</f>
        <v>8000</v>
      </c>
      <c r="F41" s="254">
        <f t="shared" si="17"/>
        <v>8000</v>
      </c>
      <c r="G41" s="266">
        <f t="shared" si="17"/>
        <v>8250</v>
      </c>
      <c r="H41" s="266">
        <f t="shared" si="17"/>
        <v>8662.5</v>
      </c>
      <c r="I41" s="266">
        <f t="shared" si="17"/>
        <v>9095.625</v>
      </c>
      <c r="J41" s="266">
        <f t="shared" si="17"/>
        <v>9550.40625</v>
      </c>
      <c r="K41" s="266">
        <f t="shared" si="17"/>
        <v>10027.926562500001</v>
      </c>
      <c r="L41" s="266">
        <f t="shared" si="17"/>
        <v>10529.322890625001</v>
      </c>
    </row>
    <row r="42" spans="1:12" ht="15" x14ac:dyDescent="0.25">
      <c r="A42" s="116"/>
      <c r="B42" s="118"/>
      <c r="C42" s="172"/>
      <c r="D42" s="172"/>
      <c r="E42" s="185"/>
      <c r="F42" s="240"/>
      <c r="G42" s="173"/>
      <c r="H42" s="173"/>
      <c r="I42" s="173"/>
      <c r="J42" s="173"/>
      <c r="K42" s="173"/>
      <c r="L42" s="173"/>
    </row>
    <row r="43" spans="1:12" ht="15" x14ac:dyDescent="0.25">
      <c r="A43" s="116" t="s">
        <v>210</v>
      </c>
      <c r="B43" s="118" t="s">
        <v>164</v>
      </c>
      <c r="C43" s="172">
        <v>2825</v>
      </c>
      <c r="D43" s="172">
        <v>3155</v>
      </c>
      <c r="E43" s="185">
        <v>2000</v>
      </c>
      <c r="F43" s="240">
        <v>2500</v>
      </c>
      <c r="G43" s="173">
        <v>3500</v>
      </c>
      <c r="H43" s="173">
        <f>SUM(G43*1.05)</f>
        <v>3675</v>
      </c>
      <c r="I43" s="173">
        <f t="shared" ref="I43:L43" si="18">SUM(H43*1.05)</f>
        <v>3858.75</v>
      </c>
      <c r="J43" s="173">
        <f t="shared" si="18"/>
        <v>4051.6875</v>
      </c>
      <c r="K43" s="173">
        <f t="shared" si="18"/>
        <v>4254.2718750000004</v>
      </c>
      <c r="L43" s="173">
        <f t="shared" si="18"/>
        <v>4466.985468750001</v>
      </c>
    </row>
    <row r="44" spans="1:12" ht="15" x14ac:dyDescent="0.25">
      <c r="A44" s="116"/>
      <c r="B44" s="118"/>
      <c r="C44" s="190">
        <f>SUM(C43)</f>
        <v>2825</v>
      </c>
      <c r="D44" s="172"/>
      <c r="E44" s="187">
        <f t="shared" ref="E44:L44" si="19">SUM(E43)</f>
        <v>2000</v>
      </c>
      <c r="F44" s="254">
        <f t="shared" si="19"/>
        <v>2500</v>
      </c>
      <c r="G44" s="266">
        <f t="shared" si="19"/>
        <v>3500</v>
      </c>
      <c r="H44" s="266">
        <f t="shared" si="19"/>
        <v>3675</v>
      </c>
      <c r="I44" s="266">
        <f t="shared" si="19"/>
        <v>3858.75</v>
      </c>
      <c r="J44" s="266">
        <f t="shared" si="19"/>
        <v>4051.6875</v>
      </c>
      <c r="K44" s="266">
        <f t="shared" si="19"/>
        <v>4254.2718750000004</v>
      </c>
      <c r="L44" s="266">
        <f t="shared" si="19"/>
        <v>4466.985468750001</v>
      </c>
    </row>
    <row r="45" spans="1:12" ht="15" x14ac:dyDescent="0.25">
      <c r="A45" s="116"/>
      <c r="B45" s="118"/>
      <c r="C45" s="172"/>
      <c r="D45" s="172"/>
      <c r="E45" s="185"/>
      <c r="F45" s="240"/>
      <c r="G45" s="173"/>
      <c r="H45" s="173"/>
      <c r="I45" s="173"/>
      <c r="J45" s="173"/>
      <c r="K45" s="173"/>
      <c r="L45" s="173"/>
    </row>
    <row r="46" spans="1:12" ht="15" x14ac:dyDescent="0.25">
      <c r="A46" s="119" t="s">
        <v>211</v>
      </c>
      <c r="B46" s="117" t="s">
        <v>165</v>
      </c>
      <c r="C46" s="172">
        <v>1377</v>
      </c>
      <c r="D46" s="172">
        <v>3930</v>
      </c>
      <c r="E46" s="185">
        <v>8000</v>
      </c>
      <c r="F46" s="240">
        <v>9000</v>
      </c>
      <c r="G46" s="173">
        <f>SUM(F46*1.025)</f>
        <v>9225</v>
      </c>
      <c r="H46" s="173">
        <f t="shared" ref="H46:L50" si="20">SUM(G46*1.025)</f>
        <v>9455.625</v>
      </c>
      <c r="I46" s="173">
        <f t="shared" si="20"/>
        <v>9692.015625</v>
      </c>
      <c r="J46" s="173">
        <f t="shared" si="20"/>
        <v>9934.3160156249996</v>
      </c>
      <c r="K46" s="173">
        <f t="shared" si="20"/>
        <v>10182.673916015623</v>
      </c>
      <c r="L46" s="173">
        <f t="shared" si="20"/>
        <v>10437.240763916012</v>
      </c>
    </row>
    <row r="47" spans="1:12" ht="15" x14ac:dyDescent="0.25">
      <c r="A47" s="119" t="s">
        <v>212</v>
      </c>
      <c r="B47" s="115" t="s">
        <v>174</v>
      </c>
      <c r="C47" s="172">
        <v>8811</v>
      </c>
      <c r="D47" s="169">
        <v>6050</v>
      </c>
      <c r="E47" s="185">
        <v>8800</v>
      </c>
      <c r="F47" s="240">
        <v>9100</v>
      </c>
      <c r="G47" s="173">
        <f>SUM(F47*1.025)</f>
        <v>9327.5</v>
      </c>
      <c r="H47" s="173">
        <f t="shared" si="20"/>
        <v>9560.6875</v>
      </c>
      <c r="I47" s="173">
        <f t="shared" si="20"/>
        <v>9799.7046874999996</v>
      </c>
      <c r="J47" s="173">
        <f t="shared" si="20"/>
        <v>10044.697304687499</v>
      </c>
      <c r="K47" s="173">
        <f t="shared" si="20"/>
        <v>10295.814737304685</v>
      </c>
      <c r="L47" s="173">
        <f t="shared" si="20"/>
        <v>10553.210105737302</v>
      </c>
    </row>
    <row r="48" spans="1:12" ht="15" x14ac:dyDescent="0.25">
      <c r="A48" s="119" t="s">
        <v>213</v>
      </c>
      <c r="B48" s="117" t="s">
        <v>45</v>
      </c>
      <c r="C48" s="172">
        <v>26134</v>
      </c>
      <c r="D48" s="169">
        <v>32280</v>
      </c>
      <c r="E48" s="185">
        <v>45000</v>
      </c>
      <c r="F48" s="240">
        <v>30000</v>
      </c>
      <c r="G48" s="173">
        <f>SUM(F48*1.025)</f>
        <v>30749.999999999996</v>
      </c>
      <c r="H48" s="173">
        <f t="shared" si="20"/>
        <v>31518.749999999993</v>
      </c>
      <c r="I48" s="173">
        <f t="shared" si="20"/>
        <v>32306.718749999989</v>
      </c>
      <c r="J48" s="173">
        <f t="shared" si="20"/>
        <v>33114.386718749985</v>
      </c>
      <c r="K48" s="173">
        <f t="shared" si="20"/>
        <v>33942.246386718733</v>
      </c>
      <c r="L48" s="173">
        <f t="shared" si="20"/>
        <v>34790.802546386694</v>
      </c>
    </row>
    <row r="49" spans="1:12" ht="15" x14ac:dyDescent="0.25">
      <c r="A49" s="119" t="s">
        <v>214</v>
      </c>
      <c r="B49" s="115" t="s">
        <v>173</v>
      </c>
      <c r="C49" s="172">
        <v>13667</v>
      </c>
      <c r="D49" s="172">
        <v>6690</v>
      </c>
      <c r="E49" s="185">
        <v>8000</v>
      </c>
      <c r="F49" s="240">
        <v>12000</v>
      </c>
      <c r="G49" s="173">
        <f>SUM(F49*1.025)</f>
        <v>12299.999999999998</v>
      </c>
      <c r="H49" s="173">
        <f t="shared" si="20"/>
        <v>12607.499999999996</v>
      </c>
      <c r="I49" s="173">
        <f t="shared" si="20"/>
        <v>12922.687499999995</v>
      </c>
      <c r="J49" s="173">
        <f t="shared" si="20"/>
        <v>13245.754687499993</v>
      </c>
      <c r="K49" s="173">
        <f t="shared" si="20"/>
        <v>13576.898554687492</v>
      </c>
      <c r="L49" s="173">
        <f t="shared" si="20"/>
        <v>13916.321018554678</v>
      </c>
    </row>
    <row r="50" spans="1:12" ht="15" x14ac:dyDescent="0.25">
      <c r="A50" s="119" t="s">
        <v>215</v>
      </c>
      <c r="B50" s="117" t="s">
        <v>166</v>
      </c>
      <c r="C50" s="172">
        <v>0</v>
      </c>
      <c r="D50" s="172">
        <v>25560</v>
      </c>
      <c r="E50" s="185">
        <v>20000</v>
      </c>
      <c r="F50" s="240">
        <v>30000</v>
      </c>
      <c r="G50" s="173">
        <f>SUM(F50*1.025)</f>
        <v>30749.999999999996</v>
      </c>
      <c r="H50" s="173">
        <f t="shared" si="20"/>
        <v>31518.749999999993</v>
      </c>
      <c r="I50" s="173">
        <f t="shared" si="20"/>
        <v>32306.718749999989</v>
      </c>
      <c r="J50" s="173">
        <f t="shared" si="20"/>
        <v>33114.386718749985</v>
      </c>
      <c r="K50" s="173">
        <f t="shared" si="20"/>
        <v>33942.246386718733</v>
      </c>
      <c r="L50" s="173">
        <f t="shared" si="20"/>
        <v>34790.802546386694</v>
      </c>
    </row>
    <row r="51" spans="1:12" ht="15" x14ac:dyDescent="0.25">
      <c r="A51" s="119" t="s">
        <v>357</v>
      </c>
      <c r="B51" s="115" t="s">
        <v>42</v>
      </c>
      <c r="C51" s="172">
        <v>0</v>
      </c>
      <c r="D51" s="169">
        <v>0</v>
      </c>
      <c r="E51" s="185">
        <v>0</v>
      </c>
      <c r="F51" s="240">
        <v>0</v>
      </c>
      <c r="G51" s="173">
        <v>0</v>
      </c>
      <c r="H51" s="173">
        <v>0</v>
      </c>
      <c r="I51" s="173">
        <v>0</v>
      </c>
      <c r="J51" s="173">
        <v>0</v>
      </c>
      <c r="K51" s="173">
        <v>0</v>
      </c>
      <c r="L51" s="173">
        <v>0</v>
      </c>
    </row>
    <row r="52" spans="1:12" ht="15" x14ac:dyDescent="0.25">
      <c r="A52" s="119"/>
      <c r="B52" s="115"/>
      <c r="C52" s="190">
        <v>49990</v>
      </c>
      <c r="D52" s="169"/>
      <c r="E52" s="187">
        <f t="shared" ref="E52:L52" si="21">SUM(E46:E51)</f>
        <v>89800</v>
      </c>
      <c r="F52" s="254">
        <f t="shared" si="21"/>
        <v>90100</v>
      </c>
      <c r="G52" s="187">
        <f t="shared" si="21"/>
        <v>92352.5</v>
      </c>
      <c r="H52" s="187">
        <f t="shared" si="21"/>
        <v>94661.312499999971</v>
      </c>
      <c r="I52" s="187">
        <f t="shared" si="21"/>
        <v>97027.84531249998</v>
      </c>
      <c r="J52" s="187">
        <f t="shared" si="21"/>
        <v>99453.541445312469</v>
      </c>
      <c r="K52" s="187">
        <f t="shared" si="21"/>
        <v>101939.87998144527</v>
      </c>
      <c r="L52" s="187">
        <f t="shared" si="21"/>
        <v>104488.37698098138</v>
      </c>
    </row>
    <row r="53" spans="1:12" ht="15" x14ac:dyDescent="0.25">
      <c r="A53" s="119"/>
      <c r="B53" s="115"/>
      <c r="C53" s="172"/>
      <c r="D53" s="169"/>
      <c r="E53" s="185"/>
      <c r="F53" s="240"/>
      <c r="G53" s="173"/>
      <c r="H53" s="173"/>
      <c r="I53" s="173"/>
      <c r="J53" s="173"/>
      <c r="K53" s="173"/>
      <c r="L53" s="173"/>
    </row>
    <row r="54" spans="1:12" ht="15" x14ac:dyDescent="0.25">
      <c r="A54" s="89" t="s">
        <v>216</v>
      </c>
      <c r="B54" s="111" t="s">
        <v>38</v>
      </c>
      <c r="C54" s="185">
        <v>2887</v>
      </c>
      <c r="D54" s="185">
        <v>3000</v>
      </c>
      <c r="E54" s="185">
        <v>3000</v>
      </c>
      <c r="F54" s="240">
        <v>3000</v>
      </c>
      <c r="G54" s="173">
        <f>SUM(F54*1.025)</f>
        <v>3074.9999999999995</v>
      </c>
      <c r="H54" s="173">
        <f t="shared" ref="H54:L54" si="22">SUM(G54*1.025)</f>
        <v>3151.8749999999991</v>
      </c>
      <c r="I54" s="173">
        <f t="shared" si="22"/>
        <v>3230.6718749999986</v>
      </c>
      <c r="J54" s="173">
        <f t="shared" si="22"/>
        <v>3311.4386718749984</v>
      </c>
      <c r="K54" s="173">
        <f t="shared" si="22"/>
        <v>3394.224638671873</v>
      </c>
      <c r="L54" s="173">
        <f t="shared" si="22"/>
        <v>3479.0802546386694</v>
      </c>
    </row>
    <row r="55" spans="1:12" ht="15" x14ac:dyDescent="0.25">
      <c r="A55" s="89" t="s">
        <v>217</v>
      </c>
      <c r="B55" s="111" t="s">
        <v>39</v>
      </c>
      <c r="C55" s="185">
        <v>1126</v>
      </c>
      <c r="D55" s="185">
        <v>2440</v>
      </c>
      <c r="E55" s="185">
        <v>3000</v>
      </c>
      <c r="F55" s="240">
        <v>4000</v>
      </c>
      <c r="G55" s="173">
        <f>SUM(F55*1.025)</f>
        <v>4100</v>
      </c>
      <c r="H55" s="173">
        <f t="shared" ref="H55:L55" si="23">SUM(G55*1.025)</f>
        <v>4202.5</v>
      </c>
      <c r="I55" s="173">
        <f t="shared" si="23"/>
        <v>4307.5625</v>
      </c>
      <c r="J55" s="173">
        <f t="shared" si="23"/>
        <v>4415.2515624999996</v>
      </c>
      <c r="K55" s="173">
        <f t="shared" si="23"/>
        <v>4525.6328515624991</v>
      </c>
      <c r="L55" s="173">
        <f t="shared" si="23"/>
        <v>4638.7736728515611</v>
      </c>
    </row>
    <row r="56" spans="1:12" ht="15" x14ac:dyDescent="0.25">
      <c r="A56" s="89" t="s">
        <v>218</v>
      </c>
      <c r="B56" s="111" t="s">
        <v>162</v>
      </c>
      <c r="C56" s="185">
        <v>8545</v>
      </c>
      <c r="D56" s="185">
        <v>5780</v>
      </c>
      <c r="E56" s="185">
        <v>5300</v>
      </c>
      <c r="F56" s="240">
        <v>5300</v>
      </c>
      <c r="G56" s="173">
        <f>SUM(F56*1.025)</f>
        <v>5432.4999999999991</v>
      </c>
      <c r="H56" s="173">
        <f t="shared" ref="H56:L56" si="24">SUM(G56*1.025)</f>
        <v>5568.3124999999982</v>
      </c>
      <c r="I56" s="173">
        <f t="shared" si="24"/>
        <v>5707.520312499998</v>
      </c>
      <c r="J56" s="173">
        <f t="shared" si="24"/>
        <v>5850.2083203124976</v>
      </c>
      <c r="K56" s="173">
        <f t="shared" si="24"/>
        <v>5996.4635283203097</v>
      </c>
      <c r="L56" s="173">
        <f t="shared" si="24"/>
        <v>6146.3751165283165</v>
      </c>
    </row>
    <row r="57" spans="1:12" ht="15" x14ac:dyDescent="0.25">
      <c r="A57" s="89" t="s">
        <v>219</v>
      </c>
      <c r="B57" s="111" t="s">
        <v>167</v>
      </c>
      <c r="C57" s="185">
        <v>4359</v>
      </c>
      <c r="D57" s="185">
        <v>945</v>
      </c>
      <c r="E57" s="185">
        <v>1700</v>
      </c>
      <c r="F57" s="240">
        <v>1700</v>
      </c>
      <c r="G57" s="173">
        <f>SUM(F57*1.025)</f>
        <v>1742.4999999999998</v>
      </c>
      <c r="H57" s="173">
        <f t="shared" ref="H57:L57" si="25">SUM(G57*1.025)</f>
        <v>1786.0624999999995</v>
      </c>
      <c r="I57" s="173">
        <f t="shared" si="25"/>
        <v>1830.7140624999993</v>
      </c>
      <c r="J57" s="173">
        <f t="shared" si="25"/>
        <v>1876.4819140624991</v>
      </c>
      <c r="K57" s="173">
        <f t="shared" si="25"/>
        <v>1923.3939619140615</v>
      </c>
      <c r="L57" s="173">
        <f t="shared" si="25"/>
        <v>1971.4788109619128</v>
      </c>
    </row>
    <row r="58" spans="1:12" ht="15" x14ac:dyDescent="0.25">
      <c r="A58" s="89"/>
      <c r="B58" s="111"/>
      <c r="C58" s="187">
        <f>SUM(C54:C57)</f>
        <v>16917</v>
      </c>
      <c r="D58" s="185"/>
      <c r="E58" s="187">
        <f t="shared" ref="E58:L58" si="26">SUM(E54:E57)</f>
        <v>13000</v>
      </c>
      <c r="F58" s="254">
        <f t="shared" si="26"/>
        <v>14000</v>
      </c>
      <c r="G58" s="187">
        <f t="shared" si="26"/>
        <v>14350</v>
      </c>
      <c r="H58" s="187">
        <f t="shared" si="26"/>
        <v>14708.749999999996</v>
      </c>
      <c r="I58" s="187">
        <f t="shared" si="26"/>
        <v>15076.468749999996</v>
      </c>
      <c r="J58" s="187">
        <f t="shared" si="26"/>
        <v>15453.380468749994</v>
      </c>
      <c r="K58" s="187">
        <f t="shared" si="26"/>
        <v>15839.714980468743</v>
      </c>
      <c r="L58" s="187">
        <f t="shared" si="26"/>
        <v>16235.707854980459</v>
      </c>
    </row>
    <row r="59" spans="1:12" ht="15" x14ac:dyDescent="0.25">
      <c r="A59" s="89"/>
      <c r="B59" s="111"/>
      <c r="C59" s="185"/>
      <c r="D59" s="185"/>
      <c r="E59" s="185"/>
      <c r="F59" s="240"/>
      <c r="G59" s="173"/>
      <c r="H59" s="173"/>
      <c r="I59" s="173"/>
      <c r="J59" s="173"/>
      <c r="K59" s="173"/>
      <c r="L59" s="173"/>
    </row>
    <row r="60" spans="1:12" ht="15" x14ac:dyDescent="0.25">
      <c r="A60" s="121" t="s">
        <v>220</v>
      </c>
      <c r="B60" s="122" t="s">
        <v>453</v>
      </c>
      <c r="C60" s="185">
        <v>96</v>
      </c>
      <c r="D60" s="185">
        <v>315</v>
      </c>
      <c r="E60" s="185">
        <v>500</v>
      </c>
      <c r="F60" s="240">
        <v>500</v>
      </c>
      <c r="G60" s="173">
        <v>3000</v>
      </c>
      <c r="H60" s="173">
        <f>SUM(G60*1.05)</f>
        <v>3150</v>
      </c>
      <c r="I60" s="173">
        <f t="shared" ref="I60:K60" si="27">SUM(H60*1.05)</f>
        <v>3307.5</v>
      </c>
      <c r="J60" s="173">
        <f t="shared" si="27"/>
        <v>3472.875</v>
      </c>
      <c r="K60" s="173">
        <f t="shared" si="27"/>
        <v>3646.5187500000002</v>
      </c>
      <c r="L60" s="173">
        <f>SUM(K60*1.05)</f>
        <v>3828.8446875000004</v>
      </c>
    </row>
    <row r="61" spans="1:12" ht="15" x14ac:dyDescent="0.25">
      <c r="A61" s="121" t="s">
        <v>221</v>
      </c>
      <c r="B61" s="123" t="s">
        <v>452</v>
      </c>
      <c r="C61" s="185">
        <v>660</v>
      </c>
      <c r="D61" s="185">
        <v>0</v>
      </c>
      <c r="E61" s="185">
        <v>100</v>
      </c>
      <c r="F61" s="240">
        <v>100</v>
      </c>
      <c r="G61" s="173">
        <v>500</v>
      </c>
      <c r="H61" s="173">
        <f>SUM(G61*1.05)</f>
        <v>525</v>
      </c>
      <c r="I61" s="173">
        <f t="shared" ref="I61:K61" si="28">SUM(H61*1.05)</f>
        <v>551.25</v>
      </c>
      <c r="J61" s="173">
        <f t="shared" si="28"/>
        <v>578.8125</v>
      </c>
      <c r="K61" s="173">
        <f t="shared" si="28"/>
        <v>607.75312500000007</v>
      </c>
      <c r="L61" s="173">
        <f>SUM(K61*1.05)</f>
        <v>638.14078125000015</v>
      </c>
    </row>
    <row r="62" spans="1:12" ht="15" x14ac:dyDescent="0.25">
      <c r="A62" s="121" t="s">
        <v>222</v>
      </c>
      <c r="B62" s="124" t="s">
        <v>171</v>
      </c>
      <c r="C62" s="185">
        <v>208</v>
      </c>
      <c r="D62" s="185">
        <v>0</v>
      </c>
      <c r="E62" s="185">
        <v>400</v>
      </c>
      <c r="F62" s="240">
        <v>400</v>
      </c>
      <c r="G62" s="173">
        <v>1000</v>
      </c>
      <c r="H62" s="173">
        <f>SUM(G62*1.05)</f>
        <v>1050</v>
      </c>
      <c r="I62" s="173">
        <f t="shared" ref="I62:K62" si="29">SUM(H62*1.05)</f>
        <v>1102.5</v>
      </c>
      <c r="J62" s="173">
        <f t="shared" si="29"/>
        <v>1157.625</v>
      </c>
      <c r="K62" s="173">
        <f t="shared" si="29"/>
        <v>1215.5062500000001</v>
      </c>
      <c r="L62" s="173">
        <f>SUM(K62*1.05)</f>
        <v>1276.2815625000003</v>
      </c>
    </row>
    <row r="63" spans="1:12" ht="15" x14ac:dyDescent="0.25">
      <c r="A63" s="89"/>
      <c r="B63" s="111"/>
      <c r="C63" s="187">
        <f>SUM(C60:C62)</f>
        <v>964</v>
      </c>
      <c r="D63" s="185"/>
      <c r="E63" s="187">
        <f t="shared" ref="E63:L63" si="30">SUM(E60:E62)</f>
        <v>1000</v>
      </c>
      <c r="F63" s="254">
        <f t="shared" si="30"/>
        <v>1000</v>
      </c>
      <c r="G63" s="187">
        <f t="shared" si="30"/>
        <v>4500</v>
      </c>
      <c r="H63" s="187">
        <f t="shared" si="30"/>
        <v>4725</v>
      </c>
      <c r="I63" s="187">
        <f t="shared" si="30"/>
        <v>4961.25</v>
      </c>
      <c r="J63" s="187">
        <f t="shared" si="30"/>
        <v>5209.3125</v>
      </c>
      <c r="K63" s="187">
        <f t="shared" si="30"/>
        <v>5469.7781250000007</v>
      </c>
      <c r="L63" s="187">
        <f t="shared" si="30"/>
        <v>5743.2670312500013</v>
      </c>
    </row>
    <row r="64" spans="1:12" ht="15" x14ac:dyDescent="0.25">
      <c r="A64" s="89"/>
      <c r="B64" s="111"/>
      <c r="C64" s="185"/>
      <c r="D64" s="185"/>
      <c r="E64" s="185"/>
      <c r="F64" s="240"/>
      <c r="G64" s="173"/>
      <c r="H64" s="173"/>
      <c r="I64" s="173"/>
      <c r="J64" s="173"/>
      <c r="K64" s="173"/>
      <c r="L64" s="173"/>
    </row>
    <row r="65" spans="1:12" ht="15" x14ac:dyDescent="0.25">
      <c r="A65" s="119" t="s">
        <v>223</v>
      </c>
      <c r="B65" s="115" t="s">
        <v>468</v>
      </c>
      <c r="C65" s="172">
        <v>10225</v>
      </c>
      <c r="D65" s="172">
        <v>10761</v>
      </c>
      <c r="E65" s="185">
        <v>10725</v>
      </c>
      <c r="F65" s="240">
        <v>11260</v>
      </c>
      <c r="G65" s="173">
        <f>SUM(F65*1.025)</f>
        <v>11541.499999999998</v>
      </c>
      <c r="H65" s="173">
        <f t="shared" ref="H65:L65" si="31">SUM(G65*1.025)</f>
        <v>11830.037499999997</v>
      </c>
      <c r="I65" s="173">
        <f t="shared" si="31"/>
        <v>12125.788437499996</v>
      </c>
      <c r="J65" s="173">
        <f t="shared" si="31"/>
        <v>12428.933148437494</v>
      </c>
      <c r="K65" s="173">
        <f t="shared" si="31"/>
        <v>12739.65647714843</v>
      </c>
      <c r="L65" s="173">
        <f t="shared" si="31"/>
        <v>13058.14788907714</v>
      </c>
    </row>
    <row r="66" spans="1:12" ht="15" x14ac:dyDescent="0.25">
      <c r="A66" s="119" t="s">
        <v>358</v>
      </c>
      <c r="B66" s="125" t="s">
        <v>362</v>
      </c>
      <c r="C66" s="172">
        <v>0</v>
      </c>
      <c r="D66" s="172">
        <v>0</v>
      </c>
      <c r="E66" s="185">
        <v>0</v>
      </c>
      <c r="F66" s="240">
        <v>0</v>
      </c>
      <c r="G66" s="173"/>
      <c r="H66" s="173"/>
      <c r="I66" s="173"/>
      <c r="J66" s="173"/>
      <c r="K66" s="173"/>
      <c r="L66" s="173"/>
    </row>
    <row r="67" spans="1:12" ht="15" x14ac:dyDescent="0.25">
      <c r="A67" s="119" t="s">
        <v>359</v>
      </c>
      <c r="B67" s="125" t="s">
        <v>360</v>
      </c>
      <c r="C67" s="172">
        <v>1039</v>
      </c>
      <c r="D67" s="172">
        <v>0</v>
      </c>
      <c r="E67" s="185">
        <v>0</v>
      </c>
      <c r="F67" s="240">
        <v>0</v>
      </c>
      <c r="G67" s="173">
        <v>1100</v>
      </c>
      <c r="H67" s="173">
        <f>SUM(G67*1.025)</f>
        <v>1127.5</v>
      </c>
      <c r="I67" s="173">
        <f t="shared" ref="I67:L67" si="32">SUM(H67*1.025)</f>
        <v>1155.6875</v>
      </c>
      <c r="J67" s="173">
        <f t="shared" si="32"/>
        <v>1184.5796874999999</v>
      </c>
      <c r="K67" s="173">
        <f t="shared" si="32"/>
        <v>1214.1941796874999</v>
      </c>
      <c r="L67" s="173">
        <f t="shared" si="32"/>
        <v>1244.5490341796872</v>
      </c>
    </row>
    <row r="68" spans="1:12" ht="15" x14ac:dyDescent="0.25">
      <c r="A68" s="119" t="s">
        <v>363</v>
      </c>
      <c r="B68" s="125" t="s">
        <v>361</v>
      </c>
      <c r="C68" s="172">
        <v>0</v>
      </c>
      <c r="D68" s="172">
        <v>0</v>
      </c>
      <c r="E68" s="185">
        <v>0</v>
      </c>
      <c r="F68" s="240">
        <v>0</v>
      </c>
      <c r="G68" s="173">
        <v>0</v>
      </c>
      <c r="H68" s="173">
        <v>0</v>
      </c>
      <c r="I68" s="173">
        <v>0</v>
      </c>
      <c r="J68" s="173">
        <v>0</v>
      </c>
      <c r="K68" s="173">
        <v>0</v>
      </c>
      <c r="L68" s="173">
        <v>0</v>
      </c>
    </row>
    <row r="69" spans="1:12" ht="15" x14ac:dyDescent="0.25">
      <c r="A69" s="119" t="s">
        <v>224</v>
      </c>
      <c r="B69" s="111" t="s">
        <v>172</v>
      </c>
      <c r="C69" s="185">
        <v>7295</v>
      </c>
      <c r="D69" s="185">
        <v>7893</v>
      </c>
      <c r="E69" s="185">
        <v>7900</v>
      </c>
      <c r="F69" s="240">
        <v>8300</v>
      </c>
      <c r="G69" s="173">
        <f>SUM(F69*1.025)</f>
        <v>8507.5</v>
      </c>
      <c r="H69" s="173">
        <f t="shared" ref="H69:L69" si="33">SUM(G69*1.025)</f>
        <v>8720.1875</v>
      </c>
      <c r="I69" s="173">
        <f t="shared" si="33"/>
        <v>8938.1921874999989</v>
      </c>
      <c r="J69" s="173">
        <f t="shared" si="33"/>
        <v>9161.6469921874977</v>
      </c>
      <c r="K69" s="173">
        <f t="shared" si="33"/>
        <v>9390.6881669921841</v>
      </c>
      <c r="L69" s="173">
        <f t="shared" si="33"/>
        <v>9625.4553711669887</v>
      </c>
    </row>
    <row r="70" spans="1:12" ht="15" x14ac:dyDescent="0.25">
      <c r="A70" s="119"/>
      <c r="B70" s="111"/>
      <c r="C70" s="187">
        <f>SUM(C65:C69)</f>
        <v>18559</v>
      </c>
      <c r="D70" s="185"/>
      <c r="E70" s="187">
        <f t="shared" ref="E70:L70" si="34">SUM(E65:E69)</f>
        <v>18625</v>
      </c>
      <c r="F70" s="254">
        <f t="shared" si="34"/>
        <v>19560</v>
      </c>
      <c r="G70" s="187">
        <f t="shared" si="34"/>
        <v>21149</v>
      </c>
      <c r="H70" s="187">
        <f t="shared" si="34"/>
        <v>21677.724999999999</v>
      </c>
      <c r="I70" s="187">
        <f t="shared" si="34"/>
        <v>22219.668124999997</v>
      </c>
      <c r="J70" s="187">
        <f t="shared" si="34"/>
        <v>22775.15982812499</v>
      </c>
      <c r="K70" s="187">
        <f t="shared" si="34"/>
        <v>23344.538823828116</v>
      </c>
      <c r="L70" s="187">
        <f t="shared" si="34"/>
        <v>23928.152294423817</v>
      </c>
    </row>
    <row r="71" spans="1:12" ht="15" x14ac:dyDescent="0.25">
      <c r="A71" s="119"/>
      <c r="B71" s="111"/>
      <c r="C71" s="185"/>
      <c r="D71" s="185"/>
      <c r="E71" s="185"/>
      <c r="F71" s="240"/>
      <c r="G71" s="173"/>
      <c r="H71" s="173"/>
      <c r="I71" s="173"/>
      <c r="J71" s="173"/>
      <c r="K71" s="173"/>
      <c r="L71" s="173"/>
    </row>
    <row r="72" spans="1:12" ht="14.1" customHeight="1" x14ac:dyDescent="0.25">
      <c r="A72" s="119" t="s">
        <v>225</v>
      </c>
      <c r="B72" s="115" t="s">
        <v>43</v>
      </c>
      <c r="C72" s="172">
        <v>83</v>
      </c>
      <c r="D72" s="172">
        <v>3445</v>
      </c>
      <c r="E72" s="185">
        <v>2500</v>
      </c>
      <c r="F72" s="240">
        <v>2500</v>
      </c>
      <c r="G72" s="173">
        <v>3000</v>
      </c>
      <c r="H72" s="173">
        <v>3000</v>
      </c>
      <c r="I72" s="173">
        <v>3000</v>
      </c>
      <c r="J72" s="173">
        <v>3000</v>
      </c>
      <c r="K72" s="173">
        <v>3000</v>
      </c>
      <c r="L72" s="173">
        <v>3000</v>
      </c>
    </row>
    <row r="73" spans="1:12" ht="14.1" customHeight="1" x14ac:dyDescent="0.25">
      <c r="A73" s="119" t="s">
        <v>364</v>
      </c>
      <c r="B73" s="115" t="s">
        <v>367</v>
      </c>
      <c r="C73" s="172">
        <v>0</v>
      </c>
      <c r="D73" s="172">
        <v>2635</v>
      </c>
      <c r="E73" s="185">
        <v>0</v>
      </c>
      <c r="F73" s="240">
        <v>0</v>
      </c>
      <c r="G73" s="173">
        <v>0</v>
      </c>
      <c r="H73" s="173">
        <v>0</v>
      </c>
      <c r="I73" s="173">
        <v>0</v>
      </c>
      <c r="J73" s="173">
        <v>0</v>
      </c>
      <c r="K73" s="173">
        <v>0</v>
      </c>
      <c r="L73" s="173">
        <v>0</v>
      </c>
    </row>
    <row r="74" spans="1:12" ht="14.1" customHeight="1" x14ac:dyDescent="0.25">
      <c r="A74" s="119" t="s">
        <v>365</v>
      </c>
      <c r="B74" s="115" t="s">
        <v>368</v>
      </c>
      <c r="C74" s="172">
        <v>0</v>
      </c>
      <c r="D74" s="172"/>
      <c r="E74" s="185">
        <v>0</v>
      </c>
      <c r="F74" s="240">
        <v>0</v>
      </c>
      <c r="G74" s="173">
        <v>0</v>
      </c>
      <c r="H74" s="173">
        <v>0</v>
      </c>
      <c r="I74" s="173">
        <v>0</v>
      </c>
      <c r="J74" s="173">
        <v>0</v>
      </c>
      <c r="K74" s="173">
        <v>0</v>
      </c>
      <c r="L74" s="173">
        <v>0</v>
      </c>
    </row>
    <row r="75" spans="1:12" ht="14.1" customHeight="1" x14ac:dyDescent="0.25">
      <c r="A75" s="119" t="s">
        <v>366</v>
      </c>
      <c r="B75" s="115" t="s">
        <v>369</v>
      </c>
      <c r="C75" s="172">
        <v>0</v>
      </c>
      <c r="D75" s="172">
        <v>0</v>
      </c>
      <c r="E75" s="185">
        <v>0</v>
      </c>
      <c r="F75" s="240">
        <v>0</v>
      </c>
      <c r="G75" s="173">
        <v>0</v>
      </c>
      <c r="H75" s="173">
        <v>0</v>
      </c>
      <c r="I75" s="173">
        <v>0</v>
      </c>
      <c r="J75" s="173">
        <v>0</v>
      </c>
      <c r="K75" s="173">
        <v>0</v>
      </c>
      <c r="L75" s="173">
        <v>0</v>
      </c>
    </row>
    <row r="76" spans="1:12" ht="14.1" customHeight="1" x14ac:dyDescent="0.25">
      <c r="A76" s="119" t="s">
        <v>226</v>
      </c>
      <c r="B76" s="115" t="s">
        <v>545</v>
      </c>
      <c r="C76" s="172">
        <v>4721</v>
      </c>
      <c r="D76" s="172">
        <v>1969</v>
      </c>
      <c r="E76" s="185">
        <v>8000</v>
      </c>
      <c r="F76" s="240">
        <v>8000</v>
      </c>
      <c r="G76" s="173">
        <v>12000</v>
      </c>
      <c r="H76" s="173">
        <f>SUM(G76*1.025)</f>
        <v>12299.999999999998</v>
      </c>
      <c r="I76" s="173">
        <f t="shared" ref="I76:L76" si="35">SUM(H76*1.025)</f>
        <v>12607.499999999996</v>
      </c>
      <c r="J76" s="173">
        <f t="shared" si="35"/>
        <v>12922.687499999995</v>
      </c>
      <c r="K76" s="173">
        <f t="shared" si="35"/>
        <v>13245.754687499993</v>
      </c>
      <c r="L76" s="173">
        <f t="shared" si="35"/>
        <v>13576.898554687492</v>
      </c>
    </row>
    <row r="77" spans="1:12" ht="15" x14ac:dyDescent="0.25">
      <c r="A77" s="121" t="s">
        <v>370</v>
      </c>
      <c r="B77" s="115" t="s">
        <v>371</v>
      </c>
      <c r="C77" s="185">
        <v>372</v>
      </c>
      <c r="D77" s="185">
        <v>51</v>
      </c>
      <c r="E77" s="185">
        <v>450</v>
      </c>
      <c r="F77" s="240">
        <v>100</v>
      </c>
      <c r="G77" s="173">
        <v>100</v>
      </c>
      <c r="H77" s="173">
        <v>100</v>
      </c>
      <c r="I77" s="173">
        <v>100</v>
      </c>
      <c r="J77" s="173">
        <v>100</v>
      </c>
      <c r="K77" s="173">
        <v>100</v>
      </c>
      <c r="L77" s="173">
        <v>100</v>
      </c>
    </row>
    <row r="78" spans="1:12" ht="15" x14ac:dyDescent="0.25">
      <c r="A78" s="121" t="s">
        <v>372</v>
      </c>
      <c r="B78" s="115" t="s">
        <v>373</v>
      </c>
      <c r="C78" s="185"/>
      <c r="D78" s="185">
        <v>0</v>
      </c>
      <c r="E78" s="185">
        <v>0</v>
      </c>
      <c r="F78" s="240">
        <v>0</v>
      </c>
      <c r="G78" s="173">
        <v>0</v>
      </c>
      <c r="H78" s="173">
        <v>0</v>
      </c>
      <c r="I78" s="173">
        <v>0</v>
      </c>
      <c r="J78" s="173">
        <v>0</v>
      </c>
      <c r="K78" s="173">
        <v>0</v>
      </c>
      <c r="L78" s="173">
        <v>0</v>
      </c>
    </row>
    <row r="79" spans="1:12" ht="15" x14ac:dyDescent="0.25">
      <c r="A79" s="121"/>
      <c r="B79" s="115"/>
      <c r="C79" s="187">
        <f>SUM(C72:C78)</f>
        <v>5176</v>
      </c>
      <c r="D79" s="185"/>
      <c r="E79" s="187">
        <f t="shared" ref="E79:L79" si="36">SUM(E72:E78)</f>
        <v>10950</v>
      </c>
      <c r="F79" s="277">
        <f t="shared" si="36"/>
        <v>10600</v>
      </c>
      <c r="G79" s="187">
        <f t="shared" si="36"/>
        <v>15100</v>
      </c>
      <c r="H79" s="187">
        <f t="shared" si="36"/>
        <v>15399.999999999998</v>
      </c>
      <c r="I79" s="187">
        <f t="shared" si="36"/>
        <v>15707.499999999996</v>
      </c>
      <c r="J79" s="187">
        <f t="shared" si="36"/>
        <v>16022.687499999995</v>
      </c>
      <c r="K79" s="187">
        <f t="shared" si="36"/>
        <v>16345.754687499993</v>
      </c>
      <c r="L79" s="187">
        <f t="shared" si="36"/>
        <v>16676.89855468749</v>
      </c>
    </row>
    <row r="80" spans="1:12" ht="15" x14ac:dyDescent="0.25">
      <c r="A80" s="121"/>
      <c r="B80" s="115"/>
      <c r="C80" s="185"/>
      <c r="D80" s="185"/>
      <c r="E80" s="185"/>
      <c r="F80" s="278"/>
      <c r="G80" s="185"/>
      <c r="H80" s="185"/>
      <c r="I80" s="173"/>
      <c r="J80" s="173"/>
      <c r="K80" s="173"/>
      <c r="L80" s="173"/>
    </row>
    <row r="81" spans="1:233" ht="15" x14ac:dyDescent="0.25">
      <c r="A81" s="95" t="s">
        <v>282</v>
      </c>
      <c r="B81" s="111" t="s">
        <v>128</v>
      </c>
      <c r="C81" s="185">
        <v>236420</v>
      </c>
      <c r="D81" s="188">
        <v>210625</v>
      </c>
      <c r="E81" s="185">
        <v>281000</v>
      </c>
      <c r="F81" s="278">
        <v>260000</v>
      </c>
      <c r="G81" s="185">
        <v>325000</v>
      </c>
      <c r="H81" s="185">
        <f>SUM(G81*1.08)</f>
        <v>351000</v>
      </c>
      <c r="I81" s="173">
        <f t="shared" ref="I81:K81" si="37">SUM(H81*1.08)</f>
        <v>379080</v>
      </c>
      <c r="J81" s="173">
        <f t="shared" si="37"/>
        <v>409406.4</v>
      </c>
      <c r="K81" s="173">
        <f t="shared" si="37"/>
        <v>442158.91200000007</v>
      </c>
      <c r="L81" s="173">
        <f>SUM(K81*1.05)</f>
        <v>464266.8576000001</v>
      </c>
    </row>
    <row r="82" spans="1:233" ht="15" x14ac:dyDescent="0.25">
      <c r="A82" s="95" t="s">
        <v>374</v>
      </c>
      <c r="B82" s="89" t="s">
        <v>542</v>
      </c>
      <c r="C82" s="185">
        <v>0</v>
      </c>
      <c r="D82" s="188">
        <v>0</v>
      </c>
      <c r="E82" s="185">
        <v>0</v>
      </c>
      <c r="F82" s="278">
        <v>57500</v>
      </c>
      <c r="G82" s="185">
        <v>120000</v>
      </c>
      <c r="H82" s="185">
        <f>SUM(G82*1.03)</f>
        <v>123600</v>
      </c>
      <c r="I82" s="173">
        <f>SUM(H82*1.03)</f>
        <v>127308</v>
      </c>
      <c r="J82" s="173">
        <f t="shared" ref="J82:L82" si="38">SUM(I82*1.03)</f>
        <v>131127.24</v>
      </c>
      <c r="K82" s="173">
        <f t="shared" si="38"/>
        <v>135061.05719999998</v>
      </c>
      <c r="L82" s="173">
        <f t="shared" si="38"/>
        <v>139112.888916</v>
      </c>
    </row>
    <row r="83" spans="1:233" ht="15" x14ac:dyDescent="0.25">
      <c r="A83" s="95" t="s">
        <v>376</v>
      </c>
      <c r="B83" s="111" t="s">
        <v>377</v>
      </c>
      <c r="C83" s="185">
        <v>0</v>
      </c>
      <c r="D83" s="188">
        <v>0</v>
      </c>
      <c r="E83" s="185">
        <v>0</v>
      </c>
      <c r="F83" s="278">
        <v>0</v>
      </c>
      <c r="G83" s="185">
        <v>0</v>
      </c>
      <c r="H83" s="185">
        <v>0</v>
      </c>
      <c r="I83" s="173">
        <v>0</v>
      </c>
      <c r="J83" s="173">
        <v>0</v>
      </c>
      <c r="K83" s="173">
        <v>0</v>
      </c>
      <c r="L83" s="173">
        <v>0</v>
      </c>
    </row>
    <row r="84" spans="1:233" s="84" customFormat="1" ht="15" customHeight="1" x14ac:dyDescent="0.2">
      <c r="A84" s="126" t="s">
        <v>283</v>
      </c>
      <c r="B84" s="115" t="s">
        <v>127</v>
      </c>
      <c r="C84" s="172">
        <v>409709</v>
      </c>
      <c r="D84" s="169">
        <v>319440</v>
      </c>
      <c r="E84" s="172">
        <v>408600</v>
      </c>
      <c r="F84" s="279">
        <v>464000</v>
      </c>
      <c r="G84" s="172">
        <v>505000</v>
      </c>
      <c r="H84" s="172">
        <f>SUM(G84*1.05)</f>
        <v>530250</v>
      </c>
      <c r="I84" s="174">
        <v>606765</v>
      </c>
      <c r="J84" s="174">
        <v>506763</v>
      </c>
      <c r="K84" s="174">
        <f>SUM(J84*1.05)</f>
        <v>532101.15</v>
      </c>
      <c r="L84" s="174">
        <f>SUM(K84*1.05)</f>
        <v>558706.20750000002</v>
      </c>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c r="EN84" s="83"/>
      <c r="EO84" s="83"/>
      <c r="EP84" s="83"/>
      <c r="EQ84" s="83"/>
      <c r="ER84" s="83"/>
      <c r="ES84" s="83"/>
      <c r="ET84" s="83"/>
      <c r="EU84" s="83"/>
      <c r="EV84" s="83"/>
      <c r="EW84" s="83"/>
      <c r="EX84" s="83"/>
      <c r="EY84" s="83"/>
      <c r="EZ84" s="83"/>
      <c r="FA84" s="83"/>
      <c r="FB84" s="83"/>
      <c r="FC84" s="83"/>
      <c r="FD84" s="83"/>
      <c r="FE84" s="83"/>
      <c r="FF84" s="83"/>
      <c r="FG84" s="83"/>
      <c r="FH84" s="83"/>
      <c r="FI84" s="83"/>
      <c r="FJ84" s="83"/>
      <c r="FK84" s="83"/>
      <c r="FL84" s="83"/>
      <c r="FM84" s="83"/>
      <c r="FN84" s="83"/>
      <c r="FO84" s="83"/>
      <c r="FP84" s="83"/>
      <c r="FQ84" s="83"/>
      <c r="FR84" s="83"/>
      <c r="FS84" s="83"/>
      <c r="FT84" s="83"/>
      <c r="FU84" s="83"/>
      <c r="FV84" s="83"/>
      <c r="FW84" s="83"/>
      <c r="FX84" s="83"/>
      <c r="FY84" s="83"/>
      <c r="FZ84" s="83"/>
      <c r="GA84" s="83"/>
      <c r="GB84" s="83"/>
      <c r="GC84" s="83"/>
      <c r="GD84" s="83"/>
      <c r="GE84" s="83"/>
      <c r="GF84" s="83"/>
      <c r="GG84" s="83"/>
      <c r="GH84" s="83"/>
      <c r="GI84" s="83"/>
      <c r="GJ84" s="83"/>
      <c r="GK84" s="83"/>
      <c r="GL84" s="83"/>
      <c r="GM84" s="83"/>
      <c r="GN84" s="83"/>
      <c r="GO84" s="83"/>
      <c r="GP84" s="83"/>
      <c r="GQ84" s="83"/>
      <c r="GR84" s="83"/>
      <c r="GS84" s="83"/>
      <c r="GT84" s="83"/>
      <c r="GU84" s="83"/>
      <c r="GV84" s="83"/>
      <c r="GW84" s="83"/>
      <c r="GX84" s="83"/>
      <c r="GY84" s="83"/>
      <c r="GZ84" s="83"/>
      <c r="HA84" s="83"/>
      <c r="HB84" s="83"/>
      <c r="HC84" s="83"/>
      <c r="HD84" s="83"/>
      <c r="HE84" s="83"/>
      <c r="HF84" s="83"/>
      <c r="HG84" s="83"/>
      <c r="HH84" s="83"/>
      <c r="HI84" s="83"/>
      <c r="HJ84" s="83"/>
      <c r="HK84" s="83"/>
      <c r="HL84" s="83"/>
      <c r="HM84" s="83"/>
      <c r="HN84" s="83"/>
      <c r="HO84" s="83"/>
      <c r="HP84" s="83"/>
      <c r="HQ84" s="83"/>
      <c r="HR84" s="83"/>
      <c r="HS84" s="83"/>
      <c r="HT84" s="83"/>
      <c r="HU84" s="83"/>
      <c r="HV84" s="83"/>
      <c r="HW84" s="83"/>
      <c r="HX84" s="83"/>
      <c r="HY84" s="83"/>
    </row>
    <row r="85" spans="1:233" s="84" customFormat="1" ht="15" customHeight="1" x14ac:dyDescent="0.2">
      <c r="A85" s="126" t="s">
        <v>378</v>
      </c>
      <c r="B85" s="115" t="s">
        <v>437</v>
      </c>
      <c r="C85" s="172">
        <v>0</v>
      </c>
      <c r="D85" s="169">
        <v>0</v>
      </c>
      <c r="E85" s="172">
        <v>0</v>
      </c>
      <c r="F85" s="279">
        <v>0</v>
      </c>
      <c r="G85" s="172"/>
      <c r="H85" s="172">
        <v>0</v>
      </c>
      <c r="I85" s="174">
        <v>0</v>
      </c>
      <c r="J85" s="174">
        <v>0</v>
      </c>
      <c r="K85" s="174">
        <v>0</v>
      </c>
      <c r="L85" s="174">
        <v>0</v>
      </c>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c r="EN85" s="83"/>
      <c r="EO85" s="83"/>
      <c r="EP85" s="83"/>
      <c r="EQ85" s="83"/>
      <c r="ER85" s="83"/>
      <c r="ES85" s="83"/>
      <c r="ET85" s="83"/>
      <c r="EU85" s="83"/>
      <c r="EV85" s="83"/>
      <c r="EW85" s="83"/>
      <c r="EX85" s="83"/>
      <c r="EY85" s="83"/>
      <c r="EZ85" s="83"/>
      <c r="FA85" s="83"/>
      <c r="FB85" s="83"/>
      <c r="FC85" s="83"/>
      <c r="FD85" s="83"/>
      <c r="FE85" s="83"/>
      <c r="FF85" s="83"/>
      <c r="FG85" s="83"/>
      <c r="FH85" s="83"/>
      <c r="FI85" s="83"/>
      <c r="FJ85" s="83"/>
      <c r="FK85" s="83"/>
      <c r="FL85" s="83"/>
      <c r="FM85" s="83"/>
      <c r="FN85" s="83"/>
      <c r="FO85" s="83"/>
      <c r="FP85" s="83"/>
      <c r="FQ85" s="83"/>
      <c r="FR85" s="83"/>
      <c r="FS85" s="83"/>
      <c r="FT85" s="83"/>
      <c r="FU85" s="83"/>
      <c r="FV85" s="83"/>
      <c r="FW85" s="83"/>
      <c r="FX85" s="83"/>
      <c r="FY85" s="83"/>
      <c r="FZ85" s="83"/>
      <c r="GA85" s="83"/>
      <c r="GB85" s="83"/>
      <c r="GC85" s="83"/>
      <c r="GD85" s="83"/>
      <c r="GE85" s="83"/>
      <c r="GF85" s="83"/>
      <c r="GG85" s="83"/>
      <c r="GH85" s="83"/>
      <c r="GI85" s="83"/>
      <c r="GJ85" s="83"/>
      <c r="GK85" s="83"/>
      <c r="GL85" s="83"/>
      <c r="GM85" s="83"/>
      <c r="GN85" s="83"/>
      <c r="GO85" s="83"/>
      <c r="GP85" s="83"/>
      <c r="GQ85" s="83"/>
      <c r="GR85" s="83"/>
      <c r="GS85" s="83"/>
      <c r="GT85" s="83"/>
      <c r="GU85" s="83"/>
      <c r="GV85" s="83"/>
      <c r="GW85" s="83"/>
      <c r="GX85" s="83"/>
      <c r="GY85" s="83"/>
      <c r="GZ85" s="83"/>
      <c r="HA85" s="83"/>
      <c r="HB85" s="83"/>
      <c r="HC85" s="83"/>
      <c r="HD85" s="83"/>
      <c r="HE85" s="83"/>
      <c r="HF85" s="83"/>
      <c r="HG85" s="83"/>
      <c r="HH85" s="83"/>
      <c r="HI85" s="83"/>
      <c r="HJ85" s="83"/>
      <c r="HK85" s="83"/>
      <c r="HL85" s="83"/>
      <c r="HM85" s="83"/>
      <c r="HN85" s="83"/>
      <c r="HO85" s="83"/>
      <c r="HP85" s="83"/>
      <c r="HQ85" s="83"/>
      <c r="HR85" s="83"/>
      <c r="HS85" s="83"/>
      <c r="HT85" s="83"/>
      <c r="HU85" s="83"/>
      <c r="HV85" s="83"/>
      <c r="HW85" s="83"/>
      <c r="HX85" s="83"/>
      <c r="HY85" s="83"/>
    </row>
    <row r="86" spans="1:233" ht="15" x14ac:dyDescent="0.25">
      <c r="A86" s="95" t="s">
        <v>284</v>
      </c>
      <c r="B86" s="111" t="s">
        <v>129</v>
      </c>
      <c r="C86" s="185">
        <v>82140</v>
      </c>
      <c r="D86" s="188">
        <v>60810</v>
      </c>
      <c r="E86" s="185">
        <v>70000</v>
      </c>
      <c r="F86" s="278">
        <v>70000</v>
      </c>
      <c r="G86" s="185">
        <v>90000</v>
      </c>
      <c r="H86" s="185">
        <f>SUM(G86*1.03)</f>
        <v>92700</v>
      </c>
      <c r="I86" s="173">
        <f t="shared" ref="I86:L86" si="39">SUM(H86*1.03)</f>
        <v>95481</v>
      </c>
      <c r="J86" s="173">
        <f t="shared" si="39"/>
        <v>98345.430000000008</v>
      </c>
      <c r="K86" s="173">
        <f t="shared" si="39"/>
        <v>101295.79290000001</v>
      </c>
      <c r="L86" s="173">
        <f t="shared" si="39"/>
        <v>104334.66668700002</v>
      </c>
    </row>
    <row r="87" spans="1:233" ht="14.1" customHeight="1" x14ac:dyDescent="0.25">
      <c r="A87" s="127" t="s">
        <v>328</v>
      </c>
      <c r="B87" s="111" t="s">
        <v>204</v>
      </c>
      <c r="C87" s="185">
        <v>2330</v>
      </c>
      <c r="D87" s="188">
        <v>1295</v>
      </c>
      <c r="E87" s="185">
        <v>2100</v>
      </c>
      <c r="F87" s="278">
        <v>2100</v>
      </c>
      <c r="G87" s="173">
        <v>2100</v>
      </c>
      <c r="H87" s="173">
        <v>2100</v>
      </c>
      <c r="I87" s="173">
        <v>2100</v>
      </c>
      <c r="J87" s="173">
        <v>2100</v>
      </c>
      <c r="K87" s="173">
        <v>2100</v>
      </c>
      <c r="L87" s="173">
        <v>2100</v>
      </c>
    </row>
    <row r="88" spans="1:233" ht="15" x14ac:dyDescent="0.25">
      <c r="A88" s="127" t="s">
        <v>285</v>
      </c>
      <c r="B88" s="114" t="s">
        <v>455</v>
      </c>
      <c r="C88" s="185">
        <v>30777</v>
      </c>
      <c r="D88" s="185">
        <v>26020</v>
      </c>
      <c r="E88" s="185">
        <v>80000</v>
      </c>
      <c r="F88" s="278">
        <v>35000</v>
      </c>
      <c r="G88" s="173">
        <f>SUM(F88*1.07)</f>
        <v>37450</v>
      </c>
      <c r="H88" s="173">
        <f t="shared" ref="H88:L88" si="40">SUM(G88*1.07)</f>
        <v>40071.5</v>
      </c>
      <c r="I88" s="173">
        <v>70000</v>
      </c>
      <c r="J88" s="173">
        <f>SUM(H88*1.14)</f>
        <v>45681.509999999995</v>
      </c>
      <c r="K88" s="173">
        <f t="shared" si="40"/>
        <v>48879.215700000001</v>
      </c>
      <c r="L88" s="173">
        <f t="shared" si="40"/>
        <v>52300.760799000003</v>
      </c>
    </row>
    <row r="89" spans="1:233" ht="15" x14ac:dyDescent="0.25">
      <c r="A89" s="95"/>
      <c r="B89" s="111"/>
      <c r="C89" s="187">
        <v>761378</v>
      </c>
      <c r="D89" s="185"/>
      <c r="E89" s="187">
        <f t="shared" ref="E89:L89" si="41">SUM(E81:E88)</f>
        <v>841700</v>
      </c>
      <c r="F89" s="277">
        <f t="shared" si="41"/>
        <v>888600</v>
      </c>
      <c r="G89" s="187">
        <f t="shared" si="41"/>
        <v>1079550</v>
      </c>
      <c r="H89" s="187">
        <f t="shared" si="41"/>
        <v>1139721.5</v>
      </c>
      <c r="I89" s="187">
        <f t="shared" si="41"/>
        <v>1280734</v>
      </c>
      <c r="J89" s="187">
        <f t="shared" si="41"/>
        <v>1193423.58</v>
      </c>
      <c r="K89" s="187">
        <f t="shared" si="41"/>
        <v>1261596.1278000001</v>
      </c>
      <c r="L89" s="187">
        <f t="shared" si="41"/>
        <v>1320821.3815020001</v>
      </c>
    </row>
    <row r="90" spans="1:233" ht="15" x14ac:dyDescent="0.25">
      <c r="A90" s="95"/>
      <c r="B90" s="111"/>
      <c r="C90" s="185"/>
      <c r="D90" s="185"/>
      <c r="E90" s="185"/>
      <c r="F90" s="278"/>
      <c r="G90" s="173"/>
      <c r="H90" s="173"/>
      <c r="I90" s="173"/>
      <c r="J90" s="173"/>
      <c r="K90" s="173"/>
      <c r="L90" s="173"/>
    </row>
    <row r="91" spans="1:233" ht="15" x14ac:dyDescent="0.25">
      <c r="A91" s="95" t="s">
        <v>286</v>
      </c>
      <c r="B91" s="111" t="s">
        <v>136</v>
      </c>
      <c r="C91" s="185">
        <v>57966</v>
      </c>
      <c r="D91" s="185">
        <v>47120</v>
      </c>
      <c r="E91" s="185">
        <v>65700</v>
      </c>
      <c r="F91" s="278">
        <f t="shared" ref="F91:L91" si="42">SUM(F89*0.08)</f>
        <v>71088</v>
      </c>
      <c r="G91" s="185">
        <f t="shared" si="42"/>
        <v>86364</v>
      </c>
      <c r="H91" s="185">
        <f t="shared" si="42"/>
        <v>91177.72</v>
      </c>
      <c r="I91" s="185">
        <f t="shared" si="42"/>
        <v>102458.72</v>
      </c>
      <c r="J91" s="185">
        <f t="shared" si="42"/>
        <v>95473.886400000003</v>
      </c>
      <c r="K91" s="185">
        <f t="shared" si="42"/>
        <v>100927.69022400002</v>
      </c>
      <c r="L91" s="185">
        <f t="shared" si="42"/>
        <v>105665.71052016002</v>
      </c>
    </row>
    <row r="92" spans="1:233" ht="15" x14ac:dyDescent="0.25">
      <c r="A92" s="95" t="s">
        <v>287</v>
      </c>
      <c r="B92" s="111" t="s">
        <v>139</v>
      </c>
      <c r="C92" s="185">
        <v>30477</v>
      </c>
      <c r="D92" s="185">
        <v>22915</v>
      </c>
      <c r="E92" s="185">
        <v>34000</v>
      </c>
      <c r="F92" s="278">
        <f t="shared" ref="F92:L92" si="43">SUM(F89*0.04)</f>
        <v>35544</v>
      </c>
      <c r="G92" s="185">
        <f t="shared" si="43"/>
        <v>43182</v>
      </c>
      <c r="H92" s="185">
        <f t="shared" si="43"/>
        <v>45588.86</v>
      </c>
      <c r="I92" s="185">
        <f t="shared" si="43"/>
        <v>51229.36</v>
      </c>
      <c r="J92" s="185">
        <f t="shared" si="43"/>
        <v>47736.943200000002</v>
      </c>
      <c r="K92" s="185">
        <f t="shared" si="43"/>
        <v>50463.84511200001</v>
      </c>
      <c r="L92" s="185">
        <f t="shared" si="43"/>
        <v>52832.85526008001</v>
      </c>
    </row>
    <row r="93" spans="1:233" ht="15" x14ac:dyDescent="0.25">
      <c r="A93" s="95" t="s">
        <v>288</v>
      </c>
      <c r="B93" s="111" t="s">
        <v>151</v>
      </c>
      <c r="C93" s="185">
        <v>33598</v>
      </c>
      <c r="D93" s="188">
        <v>28290</v>
      </c>
      <c r="E93" s="185">
        <v>38000</v>
      </c>
      <c r="F93" s="240">
        <f t="shared" ref="F93:L93" si="44">SUM(F89*0.045)</f>
        <v>39987</v>
      </c>
      <c r="G93" s="185">
        <f t="shared" si="44"/>
        <v>48579.75</v>
      </c>
      <c r="H93" s="185">
        <f t="shared" si="44"/>
        <v>51287.467499999999</v>
      </c>
      <c r="I93" s="185">
        <f t="shared" si="44"/>
        <v>57633.03</v>
      </c>
      <c r="J93" s="185">
        <f t="shared" si="44"/>
        <v>53704.061099999999</v>
      </c>
      <c r="K93" s="185">
        <f t="shared" si="44"/>
        <v>56771.825751000004</v>
      </c>
      <c r="L93" s="185">
        <f t="shared" si="44"/>
        <v>59436.962167590005</v>
      </c>
    </row>
    <row r="94" spans="1:233" ht="15" x14ac:dyDescent="0.25">
      <c r="A94" s="95" t="s">
        <v>289</v>
      </c>
      <c r="B94" s="111" t="s">
        <v>153</v>
      </c>
      <c r="C94" s="185">
        <v>124401</v>
      </c>
      <c r="D94" s="185">
        <v>91970</v>
      </c>
      <c r="E94" s="185">
        <v>123500</v>
      </c>
      <c r="F94" s="240">
        <f>SUM(E94*1.07)</f>
        <v>132145</v>
      </c>
      <c r="G94" s="185">
        <v>143000</v>
      </c>
      <c r="H94" s="173">
        <f>SUM(G94*1.05)</f>
        <v>150150</v>
      </c>
      <c r="I94" s="173">
        <f t="shared" ref="I94:L94" si="45">SUM(H94*1.05)</f>
        <v>157657.5</v>
      </c>
      <c r="J94" s="173">
        <f t="shared" si="45"/>
        <v>165540.375</v>
      </c>
      <c r="K94" s="173">
        <f t="shared" si="45"/>
        <v>173817.39375000002</v>
      </c>
      <c r="L94" s="173">
        <f t="shared" si="45"/>
        <v>182508.26343750002</v>
      </c>
    </row>
    <row r="95" spans="1:233" ht="15" x14ac:dyDescent="0.25">
      <c r="A95" s="95" t="s">
        <v>290</v>
      </c>
      <c r="B95" s="111" t="s">
        <v>152</v>
      </c>
      <c r="C95" s="185">
        <v>9527</v>
      </c>
      <c r="D95" s="188">
        <v>7215</v>
      </c>
      <c r="E95" s="185">
        <v>10500</v>
      </c>
      <c r="F95" s="240">
        <v>12000</v>
      </c>
      <c r="G95" s="185">
        <v>12000</v>
      </c>
      <c r="H95" s="185">
        <v>12000</v>
      </c>
      <c r="I95" s="185">
        <v>12000</v>
      </c>
      <c r="J95" s="185">
        <v>12000</v>
      </c>
      <c r="K95" s="185">
        <v>12000</v>
      </c>
      <c r="L95" s="185">
        <v>12000</v>
      </c>
    </row>
    <row r="96" spans="1:233" ht="15" x14ac:dyDescent="0.25">
      <c r="A96" s="95" t="s">
        <v>291</v>
      </c>
      <c r="B96" s="111" t="s">
        <v>193</v>
      </c>
      <c r="C96" s="109">
        <v>0</v>
      </c>
      <c r="D96" s="185">
        <v>0</v>
      </c>
      <c r="E96" s="185">
        <v>0</v>
      </c>
      <c r="F96" s="240">
        <f t="shared" ref="F96:F104" si="46">E96*1.015</f>
        <v>0</v>
      </c>
      <c r="G96" s="185">
        <v>0</v>
      </c>
      <c r="H96" s="185">
        <v>0</v>
      </c>
      <c r="I96" s="185">
        <v>0</v>
      </c>
      <c r="J96" s="185">
        <v>0</v>
      </c>
      <c r="K96" s="185">
        <v>0</v>
      </c>
      <c r="L96" s="185">
        <v>0</v>
      </c>
    </row>
    <row r="97" spans="1:233" ht="15" x14ac:dyDescent="0.25">
      <c r="A97" s="95" t="s">
        <v>292</v>
      </c>
      <c r="B97" s="111" t="s">
        <v>154</v>
      </c>
      <c r="C97" s="185">
        <v>13372</v>
      </c>
      <c r="D97" s="188">
        <v>10490</v>
      </c>
      <c r="E97" s="185">
        <v>14500</v>
      </c>
      <c r="F97" s="240">
        <f>SUM(E97*1.1)</f>
        <v>15950.000000000002</v>
      </c>
      <c r="G97" s="185">
        <f>SUM(F97*1.05)</f>
        <v>16747.500000000004</v>
      </c>
      <c r="H97" s="185">
        <f t="shared" ref="H97:L97" si="47">SUM(G97*1.05)</f>
        <v>17584.875000000004</v>
      </c>
      <c r="I97" s="185">
        <f t="shared" si="47"/>
        <v>18464.118750000005</v>
      </c>
      <c r="J97" s="185">
        <f t="shared" si="47"/>
        <v>19387.324687500008</v>
      </c>
      <c r="K97" s="185">
        <f t="shared" si="47"/>
        <v>20356.690921875008</v>
      </c>
      <c r="L97" s="185">
        <f t="shared" si="47"/>
        <v>21374.52546796876</v>
      </c>
    </row>
    <row r="98" spans="1:233" ht="15" x14ac:dyDescent="0.25">
      <c r="A98" s="95" t="s">
        <v>293</v>
      </c>
      <c r="B98" s="111" t="s">
        <v>141</v>
      </c>
      <c r="C98" s="185">
        <v>1128</v>
      </c>
      <c r="D98" s="185">
        <v>915</v>
      </c>
      <c r="E98" s="185">
        <v>1200</v>
      </c>
      <c r="F98" s="240">
        <f>SUM(E98*1.1)</f>
        <v>1320</v>
      </c>
      <c r="G98" s="185">
        <f t="shared" ref="G98:L98" si="48">SUM(G89*0.0015)</f>
        <v>1619.325</v>
      </c>
      <c r="H98" s="185">
        <f t="shared" si="48"/>
        <v>1709.5822499999999</v>
      </c>
      <c r="I98" s="185">
        <f t="shared" si="48"/>
        <v>1921.1010000000001</v>
      </c>
      <c r="J98" s="185">
        <f t="shared" si="48"/>
        <v>1790.1353700000002</v>
      </c>
      <c r="K98" s="185">
        <f t="shared" si="48"/>
        <v>1892.3941917000002</v>
      </c>
      <c r="L98" s="185">
        <f t="shared" si="48"/>
        <v>1981.2320722530003</v>
      </c>
    </row>
    <row r="99" spans="1:233" s="84" customFormat="1" ht="15" x14ac:dyDescent="0.25">
      <c r="A99" s="95" t="s">
        <v>294</v>
      </c>
      <c r="B99" s="115" t="s">
        <v>155</v>
      </c>
      <c r="C99" s="172">
        <v>0</v>
      </c>
      <c r="D99" s="172">
        <v>0</v>
      </c>
      <c r="E99" s="172">
        <v>0</v>
      </c>
      <c r="F99" s="240">
        <f t="shared" si="46"/>
        <v>0</v>
      </c>
      <c r="G99" s="172">
        <v>0</v>
      </c>
      <c r="H99" s="172">
        <v>0</v>
      </c>
      <c r="I99" s="172">
        <v>0</v>
      </c>
      <c r="J99" s="172">
        <v>0</v>
      </c>
      <c r="K99" s="172">
        <v>0</v>
      </c>
      <c r="L99" s="172">
        <v>0</v>
      </c>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DE99" s="83"/>
      <c r="DF99" s="83"/>
      <c r="DG99" s="83"/>
      <c r="DH99" s="83"/>
      <c r="DI99" s="83"/>
      <c r="DJ99" s="83"/>
      <c r="DK99" s="83"/>
      <c r="DL99" s="83"/>
      <c r="DM99" s="83"/>
      <c r="DN99" s="83"/>
      <c r="DO99" s="83"/>
      <c r="DP99" s="83"/>
      <c r="DQ99" s="83"/>
      <c r="DR99" s="83"/>
      <c r="DS99" s="83"/>
      <c r="DT99" s="83"/>
      <c r="DU99" s="83"/>
      <c r="DV99" s="83"/>
      <c r="DW99" s="83"/>
      <c r="DX99" s="83"/>
      <c r="DY99" s="83"/>
      <c r="DZ99" s="83"/>
      <c r="EA99" s="83"/>
      <c r="EB99" s="83"/>
      <c r="EC99" s="83"/>
      <c r="ED99" s="83"/>
      <c r="EE99" s="83"/>
      <c r="EF99" s="83"/>
      <c r="EG99" s="83"/>
      <c r="EH99" s="83"/>
      <c r="EI99" s="83"/>
      <c r="EJ99" s="83"/>
      <c r="EK99" s="83"/>
      <c r="EL99" s="83"/>
      <c r="EM99" s="83"/>
      <c r="EN99" s="83"/>
      <c r="EO99" s="83"/>
      <c r="EP99" s="83"/>
      <c r="EQ99" s="83"/>
      <c r="ER99" s="83"/>
      <c r="ES99" s="83"/>
      <c r="ET99" s="83"/>
      <c r="EU99" s="83"/>
      <c r="EV99" s="83"/>
      <c r="EW99" s="83"/>
      <c r="EX99" s="83"/>
      <c r="EY99" s="83"/>
      <c r="EZ99" s="83"/>
      <c r="FA99" s="83"/>
      <c r="FB99" s="83"/>
      <c r="FC99" s="83"/>
      <c r="FD99" s="83"/>
      <c r="FE99" s="83"/>
      <c r="FF99" s="83"/>
      <c r="FG99" s="83"/>
      <c r="FH99" s="83"/>
      <c r="FI99" s="83"/>
      <c r="FJ99" s="83"/>
      <c r="FK99" s="83"/>
      <c r="FL99" s="83"/>
      <c r="FM99" s="83"/>
      <c r="FN99" s="83"/>
      <c r="FO99" s="83"/>
      <c r="FP99" s="83"/>
      <c r="FQ99" s="83"/>
      <c r="FR99" s="83"/>
      <c r="FS99" s="83"/>
      <c r="FT99" s="83"/>
      <c r="FU99" s="83"/>
      <c r="FV99" s="83"/>
      <c r="FW99" s="83"/>
      <c r="FX99" s="83"/>
      <c r="FY99" s="83"/>
      <c r="FZ99" s="83"/>
      <c r="GA99" s="83"/>
      <c r="GB99" s="83"/>
      <c r="GC99" s="83"/>
      <c r="GD99" s="83"/>
      <c r="GE99" s="83"/>
      <c r="GF99" s="83"/>
      <c r="GG99" s="83"/>
      <c r="GH99" s="83"/>
      <c r="GI99" s="83"/>
      <c r="GJ99" s="83"/>
      <c r="GK99" s="83"/>
      <c r="GL99" s="83"/>
      <c r="GM99" s="83"/>
      <c r="GN99" s="83"/>
      <c r="GO99" s="83"/>
      <c r="GP99" s="83"/>
      <c r="GQ99" s="83"/>
      <c r="GR99" s="83"/>
      <c r="GS99" s="83"/>
      <c r="GT99" s="83"/>
      <c r="GU99" s="83"/>
      <c r="GV99" s="83"/>
      <c r="GW99" s="83"/>
      <c r="GX99" s="83"/>
      <c r="GY99" s="83"/>
      <c r="GZ99" s="83"/>
      <c r="HA99" s="83"/>
      <c r="HB99" s="83"/>
      <c r="HC99" s="83"/>
      <c r="HD99" s="83"/>
      <c r="HE99" s="83"/>
      <c r="HF99" s="83"/>
      <c r="HG99" s="83"/>
      <c r="HH99" s="83"/>
      <c r="HI99" s="83"/>
      <c r="HJ99" s="83"/>
      <c r="HK99" s="83"/>
      <c r="HL99" s="83"/>
      <c r="HM99" s="83"/>
      <c r="HN99" s="83"/>
      <c r="HO99" s="83"/>
      <c r="HP99" s="83"/>
      <c r="HQ99" s="83"/>
      <c r="HR99" s="83"/>
      <c r="HS99" s="83"/>
      <c r="HT99" s="83"/>
      <c r="HU99" s="83"/>
      <c r="HV99" s="83"/>
      <c r="HW99" s="83"/>
      <c r="HX99" s="83"/>
      <c r="HY99" s="83"/>
    </row>
    <row r="100" spans="1:233" ht="15" x14ac:dyDescent="0.25">
      <c r="A100" s="95" t="s">
        <v>295</v>
      </c>
      <c r="B100" s="111" t="s">
        <v>150</v>
      </c>
      <c r="C100" s="185">
        <v>15839</v>
      </c>
      <c r="D100" s="188">
        <v>8190</v>
      </c>
      <c r="E100" s="185">
        <v>22300</v>
      </c>
      <c r="F100" s="240">
        <v>24700</v>
      </c>
      <c r="G100" s="173">
        <v>24700</v>
      </c>
      <c r="H100" s="173">
        <v>24700</v>
      </c>
      <c r="I100" s="173">
        <v>24700</v>
      </c>
      <c r="J100" s="173">
        <v>24700</v>
      </c>
      <c r="K100" s="173">
        <v>24700</v>
      </c>
      <c r="L100" s="173">
        <v>24700</v>
      </c>
    </row>
    <row r="101" spans="1:233" ht="15" x14ac:dyDescent="0.25">
      <c r="A101" s="95" t="s">
        <v>379</v>
      </c>
      <c r="B101" s="111" t="s">
        <v>380</v>
      </c>
      <c r="C101" s="185">
        <v>0</v>
      </c>
      <c r="D101" s="188">
        <v>0</v>
      </c>
      <c r="E101" s="185">
        <v>0</v>
      </c>
      <c r="F101" s="240">
        <f t="shared" si="46"/>
        <v>0</v>
      </c>
      <c r="G101" s="173">
        <v>0</v>
      </c>
      <c r="H101" s="173">
        <v>0</v>
      </c>
      <c r="I101" s="173">
        <v>0</v>
      </c>
      <c r="J101" s="173">
        <v>0</v>
      </c>
      <c r="K101" s="173">
        <v>0</v>
      </c>
      <c r="L101" s="173">
        <v>0</v>
      </c>
    </row>
    <row r="102" spans="1:233" ht="15" x14ac:dyDescent="0.25">
      <c r="A102" s="95" t="s">
        <v>296</v>
      </c>
      <c r="B102" s="111" t="s">
        <v>456</v>
      </c>
      <c r="C102" s="185">
        <v>875.84</v>
      </c>
      <c r="D102" s="188">
        <v>1470</v>
      </c>
      <c r="E102" s="185">
        <v>1500</v>
      </c>
      <c r="F102" s="240">
        <v>1700</v>
      </c>
      <c r="G102" s="173">
        <f>SUM(F102*1.05)</f>
        <v>1785</v>
      </c>
      <c r="H102" s="173">
        <f t="shared" ref="H102:L102" si="49">SUM(G102*1.05)</f>
        <v>1874.25</v>
      </c>
      <c r="I102" s="173">
        <f t="shared" si="49"/>
        <v>1967.9625000000001</v>
      </c>
      <c r="J102" s="173">
        <f t="shared" si="49"/>
        <v>2066.3606250000003</v>
      </c>
      <c r="K102" s="173">
        <f t="shared" si="49"/>
        <v>2169.6786562500006</v>
      </c>
      <c r="L102" s="173">
        <f t="shared" si="49"/>
        <v>2278.1625890625005</v>
      </c>
    </row>
    <row r="103" spans="1:233" ht="15" x14ac:dyDescent="0.25">
      <c r="A103" s="95" t="s">
        <v>297</v>
      </c>
      <c r="B103" s="111" t="s">
        <v>192</v>
      </c>
      <c r="C103" s="185">
        <v>947.48</v>
      </c>
      <c r="D103" s="188">
        <v>2225</v>
      </c>
      <c r="E103" s="185">
        <v>3700</v>
      </c>
      <c r="F103" s="240">
        <v>5000</v>
      </c>
      <c r="G103" s="173">
        <f>SUM(F103*1.05)</f>
        <v>5250</v>
      </c>
      <c r="H103" s="173">
        <f t="shared" ref="H103:L103" si="50">SUM(G103*1.05)</f>
        <v>5512.5</v>
      </c>
      <c r="I103" s="173">
        <f t="shared" si="50"/>
        <v>5788.125</v>
      </c>
      <c r="J103" s="173">
        <f t="shared" si="50"/>
        <v>6077.53125</v>
      </c>
      <c r="K103" s="173">
        <f t="shared" si="50"/>
        <v>6381.4078125000005</v>
      </c>
      <c r="L103" s="173">
        <f t="shared" si="50"/>
        <v>6700.4782031250006</v>
      </c>
    </row>
    <row r="104" spans="1:233" ht="15" x14ac:dyDescent="0.25">
      <c r="A104" s="95" t="s">
        <v>382</v>
      </c>
      <c r="B104" s="111" t="s">
        <v>381</v>
      </c>
      <c r="C104" s="185">
        <v>0</v>
      </c>
      <c r="D104" s="188">
        <v>0</v>
      </c>
      <c r="E104" s="185">
        <v>0</v>
      </c>
      <c r="F104" s="240">
        <f t="shared" si="46"/>
        <v>0</v>
      </c>
      <c r="G104" s="173">
        <v>0</v>
      </c>
      <c r="H104" s="173">
        <v>0</v>
      </c>
      <c r="I104" s="173">
        <v>0</v>
      </c>
      <c r="J104" s="173">
        <v>0</v>
      </c>
      <c r="K104" s="173">
        <v>0</v>
      </c>
      <c r="L104" s="173">
        <v>0</v>
      </c>
    </row>
    <row r="105" spans="1:233" ht="15" x14ac:dyDescent="0.25">
      <c r="A105" s="95"/>
      <c r="B105" s="111"/>
      <c r="C105" s="187">
        <v>288134</v>
      </c>
      <c r="D105" s="188"/>
      <c r="E105" s="187">
        <f t="shared" ref="E105:L105" si="51">SUM(E91:E104)</f>
        <v>314900</v>
      </c>
      <c r="F105" s="254">
        <f t="shared" si="51"/>
        <v>339434</v>
      </c>
      <c r="G105" s="187">
        <f t="shared" si="51"/>
        <v>383227.57500000001</v>
      </c>
      <c r="H105" s="187">
        <f t="shared" si="51"/>
        <v>401585.25474999996</v>
      </c>
      <c r="I105" s="187">
        <f t="shared" si="51"/>
        <v>433819.91725000006</v>
      </c>
      <c r="J105" s="187">
        <f t="shared" si="51"/>
        <v>428476.61763249995</v>
      </c>
      <c r="K105" s="187">
        <f t="shared" si="51"/>
        <v>449480.92641932506</v>
      </c>
      <c r="L105" s="187">
        <f t="shared" si="51"/>
        <v>469478.18971773935</v>
      </c>
    </row>
    <row r="106" spans="1:233" ht="15" x14ac:dyDescent="0.25">
      <c r="A106" s="95"/>
      <c r="B106" s="111"/>
      <c r="C106" s="185"/>
      <c r="D106" s="188"/>
      <c r="E106" s="185"/>
      <c r="F106" s="240"/>
      <c r="G106" s="173"/>
      <c r="H106" s="173"/>
      <c r="I106" s="173"/>
      <c r="J106" s="173"/>
      <c r="K106" s="173"/>
      <c r="L106" s="173"/>
    </row>
    <row r="107" spans="1:233" ht="15" x14ac:dyDescent="0.25">
      <c r="A107" s="95" t="s">
        <v>384</v>
      </c>
      <c r="B107" s="95" t="s">
        <v>383</v>
      </c>
      <c r="C107" s="185">
        <v>0</v>
      </c>
      <c r="D107" s="188">
        <v>0</v>
      </c>
      <c r="E107" s="185">
        <v>0</v>
      </c>
      <c r="F107" s="240">
        <v>0</v>
      </c>
      <c r="G107" s="173">
        <v>0</v>
      </c>
      <c r="H107" s="173">
        <v>0</v>
      </c>
      <c r="I107" s="173">
        <v>0</v>
      </c>
      <c r="J107" s="173">
        <v>0</v>
      </c>
      <c r="K107" s="173">
        <v>0</v>
      </c>
      <c r="L107" s="173">
        <v>0</v>
      </c>
    </row>
    <row r="108" spans="1:233" ht="15" x14ac:dyDescent="0.25">
      <c r="A108" s="95"/>
      <c r="B108" s="95"/>
      <c r="C108" s="187">
        <v>0</v>
      </c>
      <c r="D108" s="188">
        <v>0</v>
      </c>
      <c r="E108" s="185">
        <v>0</v>
      </c>
      <c r="F108" s="240">
        <v>0</v>
      </c>
      <c r="G108" s="173">
        <f t="shared" ref="G108:L108" si="52">SUM(G107)</f>
        <v>0</v>
      </c>
      <c r="H108" s="173">
        <f t="shared" si="52"/>
        <v>0</v>
      </c>
      <c r="I108" s="173">
        <f t="shared" si="52"/>
        <v>0</v>
      </c>
      <c r="J108" s="173">
        <f t="shared" si="52"/>
        <v>0</v>
      </c>
      <c r="K108" s="173">
        <f t="shared" si="52"/>
        <v>0</v>
      </c>
      <c r="L108" s="173">
        <f t="shared" si="52"/>
        <v>0</v>
      </c>
    </row>
    <row r="109" spans="1:233" ht="15" x14ac:dyDescent="0.25">
      <c r="A109" s="95"/>
      <c r="B109" s="95"/>
      <c r="C109" s="185"/>
      <c r="D109" s="188"/>
      <c r="E109" s="185"/>
      <c r="F109" s="240"/>
      <c r="G109" s="173"/>
      <c r="H109" s="173"/>
      <c r="I109" s="173"/>
      <c r="J109" s="173"/>
      <c r="K109" s="173"/>
      <c r="L109" s="173"/>
    </row>
    <row r="110" spans="1:233" ht="15" x14ac:dyDescent="0.25">
      <c r="A110" s="121" t="s">
        <v>227</v>
      </c>
      <c r="B110" s="124" t="s">
        <v>181</v>
      </c>
      <c r="C110" s="185">
        <v>31231</v>
      </c>
      <c r="D110" s="188">
        <v>28200</v>
      </c>
      <c r="E110" s="185">
        <v>36000</v>
      </c>
      <c r="F110" s="240">
        <v>36000</v>
      </c>
      <c r="G110" s="173">
        <f>SUM(F110*1.04)</f>
        <v>37440</v>
      </c>
      <c r="H110" s="173">
        <f>SUM(G110*1.04)</f>
        <v>38937.599999999999</v>
      </c>
      <c r="I110" s="173">
        <f t="shared" ref="I110:L110" si="53">SUM(H110*1.04)</f>
        <v>40495.103999999999</v>
      </c>
      <c r="J110" s="173">
        <f t="shared" si="53"/>
        <v>42114.908159999999</v>
      </c>
      <c r="K110" s="173">
        <f t="shared" si="53"/>
        <v>43799.504486400001</v>
      </c>
      <c r="L110" s="173">
        <f t="shared" si="53"/>
        <v>45551.484665856005</v>
      </c>
    </row>
    <row r="111" spans="1:233" ht="15" x14ac:dyDescent="0.25">
      <c r="A111" s="121" t="s">
        <v>228</v>
      </c>
      <c r="B111" s="124" t="s">
        <v>182</v>
      </c>
      <c r="C111" s="185">
        <v>19250</v>
      </c>
      <c r="D111" s="185">
        <v>13970</v>
      </c>
      <c r="E111" s="185">
        <v>20000</v>
      </c>
      <c r="F111" s="240">
        <v>20000</v>
      </c>
      <c r="G111" s="173">
        <f>SUM(F111*1.04)</f>
        <v>20800</v>
      </c>
      <c r="H111" s="173">
        <f t="shared" ref="H111:L111" si="54">SUM(G111*1.04)</f>
        <v>21632</v>
      </c>
      <c r="I111" s="173">
        <f t="shared" si="54"/>
        <v>22497.280000000002</v>
      </c>
      <c r="J111" s="173">
        <f t="shared" si="54"/>
        <v>23397.171200000004</v>
      </c>
      <c r="K111" s="173">
        <f t="shared" si="54"/>
        <v>24333.058048000006</v>
      </c>
      <c r="L111" s="173">
        <f t="shared" si="54"/>
        <v>25306.380369920007</v>
      </c>
    </row>
    <row r="112" spans="1:233" ht="15" x14ac:dyDescent="0.25">
      <c r="A112" s="125" t="s">
        <v>229</v>
      </c>
      <c r="B112" s="128" t="s">
        <v>163</v>
      </c>
      <c r="C112" s="172">
        <v>275</v>
      </c>
      <c r="D112" s="172">
        <v>1130</v>
      </c>
      <c r="E112" s="185">
        <v>1100</v>
      </c>
      <c r="F112" s="240">
        <v>1300</v>
      </c>
      <c r="G112" s="173">
        <f>SUM(F112*1.04)</f>
        <v>1352</v>
      </c>
      <c r="H112" s="173">
        <f t="shared" ref="H112:L112" si="55">SUM(G112*1.04)</f>
        <v>1406.0800000000002</v>
      </c>
      <c r="I112" s="173">
        <f t="shared" si="55"/>
        <v>1462.3232000000003</v>
      </c>
      <c r="J112" s="173">
        <f t="shared" si="55"/>
        <v>1520.8161280000004</v>
      </c>
      <c r="K112" s="173">
        <f t="shared" si="55"/>
        <v>1581.6487731200004</v>
      </c>
      <c r="L112" s="173">
        <f t="shared" si="55"/>
        <v>1644.9147240448006</v>
      </c>
    </row>
    <row r="113" spans="1:12" ht="15" x14ac:dyDescent="0.25">
      <c r="A113" s="125"/>
      <c r="B113" s="128"/>
      <c r="C113" s="190">
        <v>50757</v>
      </c>
      <c r="D113" s="172"/>
      <c r="E113" s="187">
        <f t="shared" ref="E113:L113" si="56">SUM(E110:E112)</f>
        <v>57100</v>
      </c>
      <c r="F113" s="254">
        <f t="shared" si="56"/>
        <v>57300</v>
      </c>
      <c r="G113" s="187">
        <f t="shared" si="56"/>
        <v>59592</v>
      </c>
      <c r="H113" s="187">
        <f t="shared" si="56"/>
        <v>61975.68</v>
      </c>
      <c r="I113" s="187">
        <f t="shared" si="56"/>
        <v>64454.707200000004</v>
      </c>
      <c r="J113" s="187">
        <f t="shared" si="56"/>
        <v>67032.895488000009</v>
      </c>
      <c r="K113" s="187">
        <f t="shared" si="56"/>
        <v>69714.211307520003</v>
      </c>
      <c r="L113" s="187">
        <f t="shared" si="56"/>
        <v>72502.779759820827</v>
      </c>
    </row>
    <row r="114" spans="1:12" ht="15" x14ac:dyDescent="0.25">
      <c r="A114" s="125"/>
      <c r="B114" s="128"/>
      <c r="C114" s="172"/>
      <c r="D114" s="172"/>
      <c r="E114" s="185"/>
      <c r="F114" s="240"/>
      <c r="G114" s="173"/>
      <c r="H114" s="173"/>
      <c r="I114" s="173"/>
      <c r="J114" s="173"/>
      <c r="K114" s="173"/>
      <c r="L114" s="173"/>
    </row>
    <row r="115" spans="1:12" ht="15" x14ac:dyDescent="0.25">
      <c r="A115" s="110" t="s">
        <v>230</v>
      </c>
      <c r="B115" s="111" t="s">
        <v>196</v>
      </c>
      <c r="C115" s="185">
        <v>9469</v>
      </c>
      <c r="D115" s="188">
        <v>7760</v>
      </c>
      <c r="E115" s="185">
        <v>9000</v>
      </c>
      <c r="F115" s="240">
        <v>9000</v>
      </c>
      <c r="G115" s="173">
        <f>SUM(F115*1.04)</f>
        <v>9360</v>
      </c>
      <c r="H115" s="173">
        <f t="shared" ref="H115:L115" si="57">SUM(G115*1.04)</f>
        <v>9734.4</v>
      </c>
      <c r="I115" s="173">
        <f t="shared" si="57"/>
        <v>10123.776</v>
      </c>
      <c r="J115" s="173">
        <f t="shared" si="57"/>
        <v>10528.72704</v>
      </c>
      <c r="K115" s="173">
        <f t="shared" si="57"/>
        <v>10949.8761216</v>
      </c>
      <c r="L115" s="173">
        <f t="shared" si="57"/>
        <v>11387.871166464001</v>
      </c>
    </row>
    <row r="116" spans="1:12" ht="15" x14ac:dyDescent="0.25">
      <c r="A116" s="110"/>
      <c r="B116" s="111"/>
      <c r="C116" s="187">
        <f>SUM(C115)</f>
        <v>9469</v>
      </c>
      <c r="D116" s="188"/>
      <c r="E116" s="187">
        <f t="shared" ref="E116:L116" si="58">SUM(E115)</f>
        <v>9000</v>
      </c>
      <c r="F116" s="254">
        <f t="shared" si="58"/>
        <v>9000</v>
      </c>
      <c r="G116" s="187">
        <f t="shared" si="58"/>
        <v>9360</v>
      </c>
      <c r="H116" s="187">
        <f t="shared" si="58"/>
        <v>9734.4</v>
      </c>
      <c r="I116" s="187">
        <f t="shared" si="58"/>
        <v>10123.776</v>
      </c>
      <c r="J116" s="187">
        <f t="shared" si="58"/>
        <v>10528.72704</v>
      </c>
      <c r="K116" s="187">
        <f t="shared" si="58"/>
        <v>10949.8761216</v>
      </c>
      <c r="L116" s="187">
        <f t="shared" si="58"/>
        <v>11387.871166464001</v>
      </c>
    </row>
    <row r="117" spans="1:12" ht="15" x14ac:dyDescent="0.25">
      <c r="A117" s="110"/>
      <c r="B117" s="111"/>
      <c r="C117" s="185"/>
      <c r="D117" s="188"/>
      <c r="E117" s="185"/>
      <c r="F117" s="240"/>
      <c r="G117" s="173"/>
      <c r="H117" s="173"/>
      <c r="I117" s="173"/>
      <c r="J117" s="173"/>
      <c r="K117" s="173"/>
      <c r="L117" s="173"/>
    </row>
    <row r="118" spans="1:12" ht="15" x14ac:dyDescent="0.25">
      <c r="A118" s="116" t="s">
        <v>231</v>
      </c>
      <c r="B118" s="117" t="s">
        <v>180</v>
      </c>
      <c r="C118" s="172">
        <v>48353</v>
      </c>
      <c r="D118" s="172">
        <v>56890</v>
      </c>
      <c r="E118" s="185">
        <v>61000</v>
      </c>
      <c r="F118" s="240">
        <v>60000</v>
      </c>
      <c r="G118" s="173">
        <v>60000</v>
      </c>
      <c r="H118" s="173">
        <v>10000</v>
      </c>
      <c r="I118" s="173">
        <v>10000</v>
      </c>
      <c r="J118" s="173">
        <v>10000</v>
      </c>
      <c r="K118" s="173">
        <v>10000</v>
      </c>
      <c r="L118" s="173">
        <v>70000</v>
      </c>
    </row>
    <row r="119" spans="1:12" ht="15" x14ac:dyDescent="0.25">
      <c r="A119" s="116" t="s">
        <v>232</v>
      </c>
      <c r="B119" s="122" t="s">
        <v>176</v>
      </c>
      <c r="C119" s="185">
        <v>18283</v>
      </c>
      <c r="D119" s="188">
        <v>3430</v>
      </c>
      <c r="E119" s="185">
        <v>25000</v>
      </c>
      <c r="F119" s="240">
        <v>15000</v>
      </c>
      <c r="G119" s="173">
        <v>40000</v>
      </c>
      <c r="H119" s="173">
        <v>25000</v>
      </c>
      <c r="I119" s="173">
        <v>15000</v>
      </c>
      <c r="J119" s="173">
        <v>15000</v>
      </c>
      <c r="K119" s="173">
        <v>15000</v>
      </c>
      <c r="L119" s="173">
        <v>15000</v>
      </c>
    </row>
    <row r="120" spans="1:12" ht="15" x14ac:dyDescent="0.25">
      <c r="A120" s="116" t="s">
        <v>233</v>
      </c>
      <c r="B120" s="122" t="s">
        <v>199</v>
      </c>
      <c r="C120" s="185">
        <v>26119</v>
      </c>
      <c r="D120" s="188">
        <v>20665</v>
      </c>
      <c r="E120" s="185">
        <v>13000</v>
      </c>
      <c r="F120" s="240">
        <v>13000</v>
      </c>
      <c r="G120" s="173">
        <v>22000</v>
      </c>
      <c r="H120" s="173">
        <f>SUM(G120*1.05)</f>
        <v>23100</v>
      </c>
      <c r="I120" s="173">
        <f t="shared" ref="I120:L120" si="59">SUM(H120*1.05)</f>
        <v>24255</v>
      </c>
      <c r="J120" s="173">
        <f t="shared" si="59"/>
        <v>25467.75</v>
      </c>
      <c r="K120" s="173">
        <f t="shared" si="59"/>
        <v>26741.137500000001</v>
      </c>
      <c r="L120" s="173">
        <f t="shared" si="59"/>
        <v>28078.194375000003</v>
      </c>
    </row>
    <row r="121" spans="1:12" ht="15" x14ac:dyDescent="0.25">
      <c r="A121" s="116"/>
      <c r="B121" s="122"/>
      <c r="C121" s="187">
        <f>SUM(C118:C120)</f>
        <v>92755</v>
      </c>
      <c r="D121" s="188"/>
      <c r="E121" s="187">
        <f t="shared" ref="E121:L121" si="60">SUM(E118:E120)</f>
        <v>99000</v>
      </c>
      <c r="F121" s="254">
        <f t="shared" si="60"/>
        <v>88000</v>
      </c>
      <c r="G121" s="187">
        <f t="shared" si="60"/>
        <v>122000</v>
      </c>
      <c r="H121" s="187">
        <f t="shared" si="60"/>
        <v>58100</v>
      </c>
      <c r="I121" s="187">
        <f t="shared" si="60"/>
        <v>49255</v>
      </c>
      <c r="J121" s="187">
        <f t="shared" si="60"/>
        <v>50467.75</v>
      </c>
      <c r="K121" s="187">
        <f t="shared" si="60"/>
        <v>51741.137499999997</v>
      </c>
      <c r="L121" s="187">
        <f t="shared" si="60"/>
        <v>113078.19437500001</v>
      </c>
    </row>
    <row r="122" spans="1:12" ht="15" x14ac:dyDescent="0.25">
      <c r="A122" s="116"/>
      <c r="B122" s="122"/>
      <c r="C122" s="185"/>
      <c r="D122" s="188"/>
      <c r="E122" s="185"/>
      <c r="F122" s="240"/>
      <c r="G122" s="173"/>
      <c r="H122" s="173"/>
      <c r="I122" s="173"/>
      <c r="J122" s="173"/>
      <c r="K122" s="173"/>
      <c r="L122" s="173"/>
    </row>
    <row r="123" spans="1:12" ht="15" x14ac:dyDescent="0.25">
      <c r="A123" s="125" t="s">
        <v>234</v>
      </c>
      <c r="B123" s="115" t="s">
        <v>41</v>
      </c>
      <c r="C123" s="172">
        <v>39734</v>
      </c>
      <c r="D123" s="169">
        <v>0</v>
      </c>
      <c r="E123" s="185">
        <v>45000</v>
      </c>
      <c r="F123" s="240">
        <v>45000</v>
      </c>
      <c r="G123" s="173">
        <v>45000</v>
      </c>
      <c r="H123" s="173">
        <f>SUM(G123*1.2)</f>
        <v>54000</v>
      </c>
      <c r="I123" s="173">
        <v>54000</v>
      </c>
      <c r="J123" s="173">
        <v>54000</v>
      </c>
      <c r="K123" s="173">
        <v>54000</v>
      </c>
      <c r="L123" s="173">
        <v>54000</v>
      </c>
    </row>
    <row r="124" spans="1:12" ht="15" x14ac:dyDescent="0.25">
      <c r="A124" s="125" t="s">
        <v>235</v>
      </c>
      <c r="B124" s="129" t="s">
        <v>197</v>
      </c>
      <c r="C124" s="172">
        <v>30000</v>
      </c>
      <c r="D124" s="169">
        <v>25000</v>
      </c>
      <c r="E124" s="185">
        <v>30000</v>
      </c>
      <c r="F124" s="240">
        <v>30000</v>
      </c>
      <c r="G124" s="173">
        <v>30000</v>
      </c>
      <c r="H124" s="173">
        <f>SUM(G124*1.2)</f>
        <v>36000</v>
      </c>
      <c r="I124" s="173">
        <v>36000</v>
      </c>
      <c r="J124" s="173">
        <v>36000</v>
      </c>
      <c r="K124" s="173">
        <v>36000</v>
      </c>
      <c r="L124" s="173">
        <v>36000</v>
      </c>
    </row>
    <row r="125" spans="1:12" ht="15" x14ac:dyDescent="0.25">
      <c r="A125" s="125" t="s">
        <v>385</v>
      </c>
      <c r="B125" s="129" t="s">
        <v>386</v>
      </c>
      <c r="C125" s="172">
        <v>4452</v>
      </c>
      <c r="D125" s="169">
        <v>0</v>
      </c>
      <c r="E125" s="185">
        <v>4500</v>
      </c>
      <c r="F125" s="240">
        <v>4500</v>
      </c>
      <c r="G125" s="173">
        <v>4500</v>
      </c>
      <c r="H125" s="173">
        <v>4500</v>
      </c>
      <c r="I125" s="173">
        <v>4500</v>
      </c>
      <c r="J125" s="173">
        <v>4500</v>
      </c>
      <c r="K125" s="173">
        <v>4500</v>
      </c>
      <c r="L125" s="173">
        <v>4500</v>
      </c>
    </row>
    <row r="126" spans="1:12" ht="15" x14ac:dyDescent="0.25">
      <c r="A126" s="125" t="s">
        <v>236</v>
      </c>
      <c r="B126" s="117" t="s">
        <v>175</v>
      </c>
      <c r="C126" s="172">
        <v>60</v>
      </c>
      <c r="D126" s="169">
        <v>300</v>
      </c>
      <c r="E126" s="185">
        <v>1000</v>
      </c>
      <c r="F126" s="240">
        <v>500</v>
      </c>
      <c r="G126" s="173">
        <v>500</v>
      </c>
      <c r="H126" s="173">
        <v>500</v>
      </c>
      <c r="I126" s="173">
        <v>500</v>
      </c>
      <c r="J126" s="173">
        <v>500</v>
      </c>
      <c r="K126" s="173">
        <v>500</v>
      </c>
      <c r="L126" s="173">
        <v>500</v>
      </c>
    </row>
    <row r="127" spans="1:12" ht="15" x14ac:dyDescent="0.25">
      <c r="A127" s="125" t="s">
        <v>237</v>
      </c>
      <c r="B127" s="117" t="s">
        <v>179</v>
      </c>
      <c r="C127" s="172">
        <v>836</v>
      </c>
      <c r="D127" s="172">
        <v>690</v>
      </c>
      <c r="E127" s="185">
        <v>1000</v>
      </c>
      <c r="F127" s="240">
        <v>1000</v>
      </c>
      <c r="G127" s="173">
        <v>1000</v>
      </c>
      <c r="H127" s="173">
        <f>SUM(G127*1.2)</f>
        <v>1200</v>
      </c>
      <c r="I127" s="173">
        <v>1200</v>
      </c>
      <c r="J127" s="173">
        <v>1200</v>
      </c>
      <c r="K127" s="173">
        <v>1200</v>
      </c>
      <c r="L127" s="173">
        <v>1200</v>
      </c>
    </row>
    <row r="128" spans="1:12" ht="15" x14ac:dyDescent="0.25">
      <c r="A128" s="125" t="s">
        <v>238</v>
      </c>
      <c r="B128" s="117" t="s">
        <v>178</v>
      </c>
      <c r="C128" s="172">
        <v>20009</v>
      </c>
      <c r="D128" s="169">
        <v>13580</v>
      </c>
      <c r="E128" s="185">
        <v>17000</v>
      </c>
      <c r="F128" s="240">
        <v>18000</v>
      </c>
      <c r="G128" s="173">
        <f>SUM(F128*1.05)</f>
        <v>18900</v>
      </c>
      <c r="H128" s="173">
        <f>SUM(G128*1.15)</f>
        <v>21735</v>
      </c>
      <c r="I128" s="173">
        <f>SUM(H128*1.05)</f>
        <v>22821.75</v>
      </c>
      <c r="J128" s="173">
        <f t="shared" ref="J128:K128" si="61">SUM(I128*1.05)</f>
        <v>23962.837500000001</v>
      </c>
      <c r="K128" s="173">
        <f t="shared" si="61"/>
        <v>25160.979375000003</v>
      </c>
      <c r="L128" s="173">
        <f>SUM(K128*1.15)</f>
        <v>28935.126281249999</v>
      </c>
    </row>
    <row r="129" spans="1:12" ht="15" x14ac:dyDescent="0.25">
      <c r="A129" s="125" t="s">
        <v>239</v>
      </c>
      <c r="B129" s="117" t="s">
        <v>387</v>
      </c>
      <c r="C129" s="172">
        <v>29361</v>
      </c>
      <c r="D129" s="173">
        <v>17325</v>
      </c>
      <c r="E129" s="185">
        <v>22500</v>
      </c>
      <c r="F129" s="240">
        <v>25000</v>
      </c>
      <c r="G129" s="173">
        <f>SUM(F129*1.05)</f>
        <v>26250</v>
      </c>
      <c r="H129" s="173">
        <f t="shared" ref="H129:L129" si="62">SUM(G129*1.05)</f>
        <v>27562.5</v>
      </c>
      <c r="I129" s="173">
        <f t="shared" si="62"/>
        <v>28940.625</v>
      </c>
      <c r="J129" s="173">
        <f t="shared" si="62"/>
        <v>30387.65625</v>
      </c>
      <c r="K129" s="173">
        <f t="shared" si="62"/>
        <v>31907.0390625</v>
      </c>
      <c r="L129" s="173">
        <f t="shared" si="62"/>
        <v>33502.391015624999</v>
      </c>
    </row>
    <row r="130" spans="1:12" ht="15" x14ac:dyDescent="0.25">
      <c r="A130" s="125" t="s">
        <v>240</v>
      </c>
      <c r="B130" s="117" t="s">
        <v>388</v>
      </c>
      <c r="C130" s="172">
        <v>0</v>
      </c>
      <c r="D130" s="169">
        <v>0</v>
      </c>
      <c r="E130" s="185">
        <v>1500</v>
      </c>
      <c r="F130" s="240">
        <v>2000</v>
      </c>
      <c r="G130" s="173">
        <v>0</v>
      </c>
      <c r="H130" s="173">
        <v>2000</v>
      </c>
      <c r="I130" s="173"/>
      <c r="J130" s="173">
        <v>2000</v>
      </c>
      <c r="K130" s="173"/>
      <c r="L130" s="173">
        <v>2000</v>
      </c>
    </row>
    <row r="131" spans="1:12" ht="15" x14ac:dyDescent="0.25">
      <c r="A131" s="125" t="s">
        <v>241</v>
      </c>
      <c r="B131" s="117" t="s">
        <v>177</v>
      </c>
      <c r="C131" s="172">
        <v>2793</v>
      </c>
      <c r="D131" s="169">
        <v>1660</v>
      </c>
      <c r="E131" s="185">
        <v>3500</v>
      </c>
      <c r="F131" s="240">
        <v>3500</v>
      </c>
      <c r="G131" s="173"/>
      <c r="H131" s="173"/>
      <c r="I131" s="173"/>
      <c r="J131" s="173"/>
      <c r="K131" s="173"/>
      <c r="L131" s="173"/>
    </row>
    <row r="132" spans="1:12" ht="15" x14ac:dyDescent="0.25">
      <c r="A132" s="125"/>
      <c r="B132" s="117"/>
      <c r="C132" s="190">
        <f>SUM(C123:C131)</f>
        <v>127245</v>
      </c>
      <c r="D132" s="169"/>
      <c r="E132" s="187">
        <f t="shared" ref="E132:L132" si="63">SUM(E123:E131)</f>
        <v>126000</v>
      </c>
      <c r="F132" s="254">
        <f t="shared" si="63"/>
        <v>129500</v>
      </c>
      <c r="G132" s="187">
        <f t="shared" si="63"/>
        <v>126150</v>
      </c>
      <c r="H132" s="187">
        <f t="shared" si="63"/>
        <v>147497.5</v>
      </c>
      <c r="I132" s="187">
        <f t="shared" si="63"/>
        <v>147962.375</v>
      </c>
      <c r="J132" s="187">
        <f t="shared" si="63"/>
        <v>152550.49374999999</v>
      </c>
      <c r="K132" s="187">
        <f t="shared" si="63"/>
        <v>153268.0184375</v>
      </c>
      <c r="L132" s="187">
        <f t="shared" si="63"/>
        <v>160637.51729687501</v>
      </c>
    </row>
    <row r="133" spans="1:12" ht="15" x14ac:dyDescent="0.25">
      <c r="A133" s="125"/>
      <c r="B133" s="117"/>
      <c r="C133" s="172"/>
      <c r="D133" s="169"/>
      <c r="E133" s="185"/>
      <c r="F133" s="240"/>
      <c r="G133" s="173"/>
      <c r="H133" s="173"/>
      <c r="I133" s="173"/>
      <c r="J133" s="173"/>
      <c r="K133" s="173"/>
      <c r="L133" s="173"/>
    </row>
    <row r="134" spans="1:12" ht="15" x14ac:dyDescent="0.25">
      <c r="A134" s="121" t="s">
        <v>242</v>
      </c>
      <c r="B134" s="124" t="s">
        <v>168</v>
      </c>
      <c r="C134" s="185">
        <v>38</v>
      </c>
      <c r="D134" s="185">
        <v>53.63</v>
      </c>
      <c r="E134" s="185">
        <v>200</v>
      </c>
      <c r="F134" s="240">
        <v>200</v>
      </c>
      <c r="G134" s="173">
        <v>1200</v>
      </c>
      <c r="H134" s="173">
        <f>SUM(G134*1.04)</f>
        <v>1248</v>
      </c>
      <c r="I134" s="173">
        <f t="shared" ref="I134:L134" si="64">SUM(H134*1.04)</f>
        <v>1297.92</v>
      </c>
      <c r="J134" s="173">
        <f t="shared" si="64"/>
        <v>1349.8368</v>
      </c>
      <c r="K134" s="173">
        <f t="shared" si="64"/>
        <v>1403.8302720000002</v>
      </c>
      <c r="L134" s="173">
        <f t="shared" si="64"/>
        <v>1459.9834828800001</v>
      </c>
    </row>
    <row r="135" spans="1:12" ht="15" x14ac:dyDescent="0.25">
      <c r="A135" s="121" t="s">
        <v>243</v>
      </c>
      <c r="B135" s="123" t="s">
        <v>169</v>
      </c>
      <c r="C135" s="185">
        <v>623</v>
      </c>
      <c r="D135" s="185">
        <v>580</v>
      </c>
      <c r="E135" s="185">
        <v>400</v>
      </c>
      <c r="F135" s="240">
        <v>400</v>
      </c>
      <c r="G135" s="173">
        <v>900</v>
      </c>
      <c r="H135" s="173">
        <f>SUM(G135*1.04)</f>
        <v>936</v>
      </c>
      <c r="I135" s="173">
        <f t="shared" ref="I135:L135" si="65">SUM(H135*1.04)</f>
        <v>973.44</v>
      </c>
      <c r="J135" s="173">
        <f t="shared" si="65"/>
        <v>1012.3776000000001</v>
      </c>
      <c r="K135" s="173">
        <f t="shared" si="65"/>
        <v>1052.8727040000001</v>
      </c>
      <c r="L135" s="173">
        <f t="shared" si="65"/>
        <v>1094.9876121600003</v>
      </c>
    </row>
    <row r="136" spans="1:12" ht="15" x14ac:dyDescent="0.25">
      <c r="A136" s="121" t="s">
        <v>244</v>
      </c>
      <c r="B136" s="123" t="s">
        <v>171</v>
      </c>
      <c r="C136" s="185">
        <v>112</v>
      </c>
      <c r="D136" s="185">
        <v>0</v>
      </c>
      <c r="E136" s="185">
        <v>300</v>
      </c>
      <c r="F136" s="240">
        <v>300</v>
      </c>
      <c r="G136" s="173">
        <v>3600</v>
      </c>
      <c r="H136" s="173">
        <f>SUM(G136*1.04)</f>
        <v>3744</v>
      </c>
      <c r="I136" s="173">
        <f t="shared" ref="I136:L136" si="66">SUM(H136*1.04)</f>
        <v>3893.76</v>
      </c>
      <c r="J136" s="173">
        <f t="shared" si="66"/>
        <v>4049.5104000000006</v>
      </c>
      <c r="K136" s="173">
        <f t="shared" si="66"/>
        <v>4211.4908160000005</v>
      </c>
      <c r="L136" s="173">
        <f t="shared" si="66"/>
        <v>4379.950448640001</v>
      </c>
    </row>
    <row r="137" spans="1:12" ht="15" x14ac:dyDescent="0.25">
      <c r="A137" s="121"/>
      <c r="B137" s="123"/>
      <c r="C137" s="187">
        <v>774</v>
      </c>
      <c r="D137" s="185"/>
      <c r="E137" s="187">
        <f t="shared" ref="E137:L137" si="67">SUM(E134:E136)</f>
        <v>900</v>
      </c>
      <c r="F137" s="254">
        <f t="shared" si="67"/>
        <v>900</v>
      </c>
      <c r="G137" s="173">
        <f t="shared" si="67"/>
        <v>5700</v>
      </c>
      <c r="H137" s="173">
        <f t="shared" si="67"/>
        <v>5928</v>
      </c>
      <c r="I137" s="173">
        <f t="shared" si="67"/>
        <v>6165.1200000000008</v>
      </c>
      <c r="J137" s="173">
        <f t="shared" si="67"/>
        <v>6411.7248000000009</v>
      </c>
      <c r="K137" s="173">
        <f t="shared" si="67"/>
        <v>6668.1937920000009</v>
      </c>
      <c r="L137" s="173">
        <f t="shared" si="67"/>
        <v>6934.9215436800014</v>
      </c>
    </row>
    <row r="138" spans="1:12" ht="15" x14ac:dyDescent="0.25">
      <c r="A138" s="121"/>
      <c r="B138" s="123"/>
      <c r="C138" s="185"/>
      <c r="D138" s="185"/>
      <c r="E138" s="185"/>
      <c r="F138" s="240"/>
      <c r="G138" s="173"/>
      <c r="H138" s="173"/>
      <c r="I138" s="173"/>
      <c r="J138" s="173"/>
      <c r="K138" s="173"/>
      <c r="L138" s="173"/>
    </row>
    <row r="139" spans="1:12" ht="15" x14ac:dyDescent="0.25">
      <c r="A139" s="119" t="s">
        <v>245</v>
      </c>
      <c r="B139" s="115" t="s">
        <v>457</v>
      </c>
      <c r="C139" s="172">
        <v>0</v>
      </c>
      <c r="D139" s="172">
        <v>997</v>
      </c>
      <c r="E139" s="133">
        <v>997</v>
      </c>
      <c r="F139" s="240">
        <v>1000</v>
      </c>
      <c r="G139" s="173">
        <f>SUM(F139*1.05)</f>
        <v>1050</v>
      </c>
      <c r="H139" s="173">
        <f t="shared" ref="H139:L141" si="68">SUM(G139*1.05)</f>
        <v>1102.5</v>
      </c>
      <c r="I139" s="173">
        <f t="shared" si="68"/>
        <v>1157.625</v>
      </c>
      <c r="J139" s="173">
        <f t="shared" si="68"/>
        <v>1215.5062500000001</v>
      </c>
      <c r="K139" s="173">
        <f t="shared" si="68"/>
        <v>1276.2815625000003</v>
      </c>
      <c r="L139" s="173">
        <f t="shared" si="68"/>
        <v>1340.0956406250004</v>
      </c>
    </row>
    <row r="140" spans="1:12" ht="15" x14ac:dyDescent="0.25">
      <c r="A140" s="119" t="s">
        <v>246</v>
      </c>
      <c r="B140" s="115" t="s">
        <v>458</v>
      </c>
      <c r="C140" s="172">
        <v>5516</v>
      </c>
      <c r="D140" s="172">
        <v>6489</v>
      </c>
      <c r="E140" s="133">
        <v>6489</v>
      </c>
      <c r="F140" s="240">
        <v>6500</v>
      </c>
      <c r="G140" s="173">
        <f>SUM(F140*1.05)</f>
        <v>6825</v>
      </c>
      <c r="H140" s="173">
        <f t="shared" si="68"/>
        <v>7166.25</v>
      </c>
      <c r="I140" s="173">
        <f t="shared" si="68"/>
        <v>7524.5625</v>
      </c>
      <c r="J140" s="173">
        <f t="shared" si="68"/>
        <v>7900.7906250000005</v>
      </c>
      <c r="K140" s="173">
        <f t="shared" si="68"/>
        <v>8295.8301562500001</v>
      </c>
      <c r="L140" s="173">
        <f t="shared" si="68"/>
        <v>8710.6216640625007</v>
      </c>
    </row>
    <row r="141" spans="1:12" ht="30" x14ac:dyDescent="0.25">
      <c r="A141" s="119" t="s">
        <v>247</v>
      </c>
      <c r="B141" s="130" t="s">
        <v>205</v>
      </c>
      <c r="C141" s="172">
        <v>7174</v>
      </c>
      <c r="D141" s="172">
        <v>7174</v>
      </c>
      <c r="E141" s="133">
        <v>7174</v>
      </c>
      <c r="F141" s="240">
        <v>7200</v>
      </c>
      <c r="G141" s="173">
        <f>SUM(F141*1.05)</f>
        <v>7560</v>
      </c>
      <c r="H141" s="173">
        <f t="shared" si="68"/>
        <v>7938</v>
      </c>
      <c r="I141" s="173">
        <f t="shared" si="68"/>
        <v>8334.9</v>
      </c>
      <c r="J141" s="173">
        <f t="shared" si="68"/>
        <v>8751.6450000000004</v>
      </c>
      <c r="K141" s="173">
        <f t="shared" si="68"/>
        <v>9189.2272500000017</v>
      </c>
      <c r="L141" s="173">
        <f t="shared" si="68"/>
        <v>9648.6886125000019</v>
      </c>
    </row>
    <row r="142" spans="1:12" ht="15" x14ac:dyDescent="0.25">
      <c r="A142" s="119"/>
      <c r="B142" s="130"/>
      <c r="C142" s="190">
        <f>SUM(C139:C141)</f>
        <v>12690</v>
      </c>
      <c r="D142" s="190"/>
      <c r="E142" s="187">
        <f t="shared" ref="E142:L142" si="69">SUM(E139:E141)</f>
        <v>14660</v>
      </c>
      <c r="F142" s="254">
        <f t="shared" si="69"/>
        <v>14700</v>
      </c>
      <c r="G142" s="187">
        <f t="shared" si="69"/>
        <v>15435</v>
      </c>
      <c r="H142" s="187">
        <f t="shared" si="69"/>
        <v>16206.75</v>
      </c>
      <c r="I142" s="187">
        <f t="shared" si="69"/>
        <v>17017.087500000001</v>
      </c>
      <c r="J142" s="187">
        <f t="shared" si="69"/>
        <v>17867.941875</v>
      </c>
      <c r="K142" s="187">
        <f t="shared" si="69"/>
        <v>18761.338968750002</v>
      </c>
      <c r="L142" s="187">
        <f t="shared" si="69"/>
        <v>19699.405917187505</v>
      </c>
    </row>
    <row r="143" spans="1:12" ht="15" x14ac:dyDescent="0.25">
      <c r="A143" s="119"/>
      <c r="B143" s="130"/>
      <c r="C143" s="172"/>
      <c r="D143" s="172"/>
      <c r="E143" s="185"/>
      <c r="F143" s="240"/>
      <c r="G143" s="173"/>
      <c r="H143" s="173"/>
      <c r="I143" s="173"/>
      <c r="J143" s="173"/>
      <c r="K143" s="173"/>
      <c r="L143" s="173"/>
    </row>
    <row r="144" spans="1:12" ht="15" x14ac:dyDescent="0.25">
      <c r="A144" s="119" t="s">
        <v>248</v>
      </c>
      <c r="B144" s="115" t="s">
        <v>194</v>
      </c>
      <c r="C144" s="172">
        <v>13548</v>
      </c>
      <c r="D144" s="172">
        <v>81809.41</v>
      </c>
      <c r="E144" s="185">
        <v>140000</v>
      </c>
      <c r="F144" s="240">
        <v>0</v>
      </c>
      <c r="G144" s="173">
        <v>0</v>
      </c>
      <c r="H144" s="173">
        <v>0</v>
      </c>
      <c r="I144" s="173">
        <v>0</v>
      </c>
      <c r="J144" s="173">
        <v>0</v>
      </c>
      <c r="K144" s="173">
        <v>0</v>
      </c>
      <c r="L144" s="173">
        <v>0</v>
      </c>
    </row>
    <row r="145" spans="1:233" ht="15" x14ac:dyDescent="0.25">
      <c r="A145" s="119"/>
      <c r="B145" s="115"/>
      <c r="C145" s="190">
        <v>13548</v>
      </c>
      <c r="D145" s="172"/>
      <c r="E145" s="185">
        <f>SUM(E144)</f>
        <v>140000</v>
      </c>
      <c r="F145" s="240">
        <v>0</v>
      </c>
      <c r="G145" s="173">
        <f t="shared" ref="G145:L145" si="70">SUM(G144)</f>
        <v>0</v>
      </c>
      <c r="H145" s="173">
        <f t="shared" si="70"/>
        <v>0</v>
      </c>
      <c r="I145" s="173">
        <f t="shared" si="70"/>
        <v>0</v>
      </c>
      <c r="J145" s="173">
        <f t="shared" si="70"/>
        <v>0</v>
      </c>
      <c r="K145" s="173">
        <f t="shared" si="70"/>
        <v>0</v>
      </c>
      <c r="L145" s="173">
        <f t="shared" si="70"/>
        <v>0</v>
      </c>
    </row>
    <row r="146" spans="1:233" ht="15" x14ac:dyDescent="0.25">
      <c r="A146" s="119"/>
      <c r="B146" s="115"/>
      <c r="C146" s="172"/>
      <c r="D146" s="172"/>
      <c r="E146" s="185"/>
      <c r="F146" s="240"/>
      <c r="G146" s="173"/>
      <c r="H146" s="173"/>
      <c r="I146" s="173"/>
      <c r="J146" s="173"/>
      <c r="K146" s="173"/>
      <c r="L146" s="173"/>
    </row>
    <row r="147" spans="1:233" ht="15" x14ac:dyDescent="0.25">
      <c r="A147" s="119" t="s">
        <v>389</v>
      </c>
      <c r="B147" s="115" t="s">
        <v>390</v>
      </c>
      <c r="C147" s="172">
        <v>0</v>
      </c>
      <c r="D147" s="172">
        <v>0</v>
      </c>
      <c r="E147" s="185">
        <v>0</v>
      </c>
      <c r="F147" s="240">
        <v>0</v>
      </c>
      <c r="G147" s="173">
        <v>0</v>
      </c>
      <c r="H147" s="173">
        <v>0</v>
      </c>
      <c r="I147" s="173">
        <v>0</v>
      </c>
      <c r="J147" s="173">
        <v>0</v>
      </c>
      <c r="K147" s="173">
        <v>0</v>
      </c>
      <c r="L147" s="173">
        <v>0</v>
      </c>
    </row>
    <row r="148" spans="1:233" ht="15" x14ac:dyDescent="0.25">
      <c r="A148" s="119"/>
      <c r="B148" s="115"/>
      <c r="C148" s="190">
        <v>0</v>
      </c>
      <c r="D148" s="172"/>
      <c r="E148" s="185">
        <v>0</v>
      </c>
      <c r="F148" s="240">
        <v>0</v>
      </c>
      <c r="G148" s="173">
        <f t="shared" ref="G148:L148" si="71">SUM(G147)</f>
        <v>0</v>
      </c>
      <c r="H148" s="173">
        <f t="shared" si="71"/>
        <v>0</v>
      </c>
      <c r="I148" s="173">
        <f t="shared" si="71"/>
        <v>0</v>
      </c>
      <c r="J148" s="173">
        <f t="shared" si="71"/>
        <v>0</v>
      </c>
      <c r="K148" s="173">
        <f t="shared" si="71"/>
        <v>0</v>
      </c>
      <c r="L148" s="173">
        <f t="shared" si="71"/>
        <v>0</v>
      </c>
    </row>
    <row r="149" spans="1:233" ht="15" x14ac:dyDescent="0.25">
      <c r="A149" s="119"/>
      <c r="B149" s="115"/>
      <c r="C149" s="172"/>
      <c r="D149" s="172"/>
      <c r="E149" s="185"/>
      <c r="F149" s="240"/>
      <c r="G149" s="173"/>
      <c r="H149" s="173"/>
      <c r="I149" s="173"/>
      <c r="J149" s="173"/>
      <c r="K149" s="173"/>
      <c r="L149" s="173"/>
    </row>
    <row r="150" spans="1:233" ht="15" x14ac:dyDescent="0.25">
      <c r="A150" s="95" t="s">
        <v>298</v>
      </c>
      <c r="B150" s="111" t="s">
        <v>134</v>
      </c>
      <c r="C150" s="185">
        <v>0</v>
      </c>
      <c r="D150" s="185">
        <v>0</v>
      </c>
      <c r="E150" s="185">
        <v>7500</v>
      </c>
      <c r="F150" s="240">
        <v>54000</v>
      </c>
      <c r="G150" s="173">
        <f>SUM(F150*1.08)</f>
        <v>58320.000000000007</v>
      </c>
      <c r="H150" s="173">
        <f t="shared" ref="H150:I150" si="72">SUM(G150*1.08)</f>
        <v>62985.600000000013</v>
      </c>
      <c r="I150" s="173">
        <f t="shared" si="72"/>
        <v>68024.448000000019</v>
      </c>
      <c r="J150" s="173">
        <f>SUM(I150*1.06)</f>
        <v>72105.914880000026</v>
      </c>
      <c r="K150" s="173">
        <f t="shared" ref="K150:L150" si="73">SUM(J150*1.06)</f>
        <v>76432.269772800035</v>
      </c>
      <c r="L150" s="173">
        <f t="shared" si="73"/>
        <v>81018.205959168045</v>
      </c>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73"/>
      <c r="DP150" s="73"/>
      <c r="DQ150" s="73"/>
      <c r="DR150" s="73"/>
      <c r="DS150" s="73"/>
      <c r="DT150" s="73"/>
      <c r="DU150" s="73"/>
      <c r="DV150" s="73"/>
      <c r="DW150" s="73"/>
      <c r="DX150" s="73"/>
      <c r="DY150" s="73"/>
      <c r="DZ150" s="73"/>
      <c r="EA150" s="73"/>
      <c r="EB150" s="73"/>
      <c r="EC150" s="73"/>
      <c r="ED150" s="73"/>
      <c r="EE150" s="73"/>
      <c r="EF150" s="73"/>
      <c r="EG150" s="73"/>
      <c r="EH150" s="73"/>
      <c r="EI150" s="73"/>
      <c r="EJ150" s="73"/>
      <c r="EK150" s="73"/>
      <c r="EL150" s="73"/>
      <c r="EM150" s="73"/>
      <c r="EN150" s="73"/>
      <c r="EO150" s="73"/>
      <c r="EP150" s="73"/>
      <c r="EQ150" s="73"/>
      <c r="ER150" s="73"/>
      <c r="ES150" s="73"/>
      <c r="ET150" s="73"/>
      <c r="EU150" s="73"/>
      <c r="EV150" s="73"/>
      <c r="EW150" s="73"/>
      <c r="EX150" s="73"/>
      <c r="EY150" s="73"/>
      <c r="EZ150" s="73"/>
      <c r="FA150" s="73"/>
      <c r="FB150" s="73"/>
      <c r="FC150" s="73"/>
      <c r="FD150" s="73"/>
      <c r="FE150" s="73"/>
      <c r="FF150" s="73"/>
      <c r="FG150" s="73"/>
      <c r="FH150" s="73"/>
      <c r="FI150" s="73"/>
      <c r="FJ150" s="73"/>
      <c r="FK150" s="73"/>
      <c r="FL150" s="73"/>
      <c r="FM150" s="73"/>
      <c r="FN150" s="73"/>
      <c r="FO150" s="73"/>
      <c r="FP150" s="73"/>
      <c r="FQ150" s="73"/>
      <c r="FR150" s="73"/>
      <c r="FS150" s="73"/>
      <c r="FT150" s="73"/>
      <c r="FU150" s="73"/>
      <c r="FV150" s="73"/>
      <c r="FW150" s="73"/>
      <c r="FX150" s="73"/>
      <c r="FY150" s="73"/>
      <c r="FZ150" s="73"/>
      <c r="GA150" s="73"/>
      <c r="GB150" s="73"/>
      <c r="GC150" s="73"/>
      <c r="GD150" s="73"/>
      <c r="GE150" s="73"/>
      <c r="GF150" s="73"/>
      <c r="GG150" s="73"/>
      <c r="GH150" s="73"/>
      <c r="GI150" s="73"/>
      <c r="GJ150" s="73"/>
      <c r="GK150" s="73"/>
      <c r="GL150" s="73"/>
      <c r="GM150" s="73"/>
      <c r="GN150" s="73"/>
      <c r="GO150" s="73"/>
      <c r="GP150" s="73"/>
      <c r="GQ150" s="73"/>
      <c r="GR150" s="73"/>
      <c r="GS150" s="73"/>
      <c r="GT150" s="73"/>
      <c r="GU150" s="73"/>
      <c r="GV150" s="73"/>
      <c r="GW150" s="73"/>
      <c r="GX150" s="73"/>
      <c r="GY150" s="73"/>
      <c r="GZ150" s="73"/>
      <c r="HA150" s="73"/>
      <c r="HB150" s="73"/>
      <c r="HC150" s="73"/>
      <c r="HD150" s="73"/>
      <c r="HE150" s="73"/>
      <c r="HF150" s="73"/>
      <c r="HG150" s="73"/>
      <c r="HH150" s="73"/>
      <c r="HI150" s="73"/>
      <c r="HJ150" s="73"/>
      <c r="HK150" s="73"/>
      <c r="HL150" s="73"/>
      <c r="HM150" s="73"/>
      <c r="HN150" s="73"/>
      <c r="HO150" s="73"/>
      <c r="HP150" s="73"/>
      <c r="HQ150" s="73"/>
      <c r="HR150" s="73"/>
      <c r="HS150" s="73"/>
      <c r="HT150" s="73"/>
      <c r="HU150" s="73"/>
      <c r="HV150" s="73"/>
      <c r="HW150" s="73"/>
      <c r="HX150" s="73"/>
      <c r="HY150" s="73"/>
    </row>
    <row r="151" spans="1:233" ht="15" x14ac:dyDescent="0.25">
      <c r="A151" s="95" t="s">
        <v>299</v>
      </c>
      <c r="B151" s="111" t="s">
        <v>132</v>
      </c>
      <c r="C151" s="185">
        <v>65750</v>
      </c>
      <c r="D151" s="185">
        <v>52070</v>
      </c>
      <c r="E151" s="185">
        <v>70000</v>
      </c>
      <c r="F151" s="240">
        <v>70000</v>
      </c>
      <c r="G151" s="173">
        <f>SUM(F151*1.03)</f>
        <v>72100</v>
      </c>
      <c r="H151" s="173">
        <f t="shared" ref="H151:L151" si="74">SUM(G151*1.03)</f>
        <v>74263</v>
      </c>
      <c r="I151" s="173">
        <f t="shared" si="74"/>
        <v>76490.89</v>
      </c>
      <c r="J151" s="173">
        <f t="shared" si="74"/>
        <v>78785.616699999999</v>
      </c>
      <c r="K151" s="173">
        <f t="shared" si="74"/>
        <v>81149.185201</v>
      </c>
      <c r="L151" s="173">
        <f t="shared" si="74"/>
        <v>83583.660757029997</v>
      </c>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73"/>
      <c r="BK151" s="73"/>
      <c r="BL151" s="73"/>
      <c r="BM151" s="73"/>
      <c r="BN151" s="73"/>
      <c r="BO151" s="73"/>
      <c r="BP151" s="73"/>
      <c r="BQ151" s="73"/>
      <c r="BR151" s="73"/>
      <c r="BS151" s="73"/>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c r="CZ151" s="73"/>
      <c r="DA151" s="73"/>
      <c r="DB151" s="73"/>
      <c r="DC151" s="73"/>
      <c r="DD151" s="73"/>
      <c r="DE151" s="73"/>
      <c r="DF151" s="73"/>
      <c r="DG151" s="73"/>
      <c r="DH151" s="73"/>
      <c r="DI151" s="73"/>
      <c r="DJ151" s="73"/>
      <c r="DK151" s="73"/>
      <c r="DL151" s="73"/>
      <c r="DM151" s="73"/>
      <c r="DN151" s="73"/>
      <c r="DO151" s="73"/>
      <c r="DP151" s="73"/>
      <c r="DQ151" s="73"/>
      <c r="DR151" s="73"/>
      <c r="DS151" s="73"/>
      <c r="DT151" s="73"/>
      <c r="DU151" s="73"/>
      <c r="DV151" s="73"/>
      <c r="DW151" s="73"/>
      <c r="DX151" s="73"/>
      <c r="DY151" s="73"/>
      <c r="DZ151" s="73"/>
      <c r="EA151" s="73"/>
      <c r="EB151" s="73"/>
      <c r="EC151" s="73"/>
      <c r="ED151" s="73"/>
      <c r="EE151" s="73"/>
      <c r="EF151" s="73"/>
      <c r="EG151" s="73"/>
      <c r="EH151" s="73"/>
      <c r="EI151" s="73"/>
      <c r="EJ151" s="73"/>
      <c r="EK151" s="73"/>
      <c r="EL151" s="73"/>
      <c r="EM151" s="73"/>
      <c r="EN151" s="73"/>
      <c r="EO151" s="73"/>
      <c r="EP151" s="73"/>
      <c r="EQ151" s="73"/>
      <c r="ER151" s="73"/>
      <c r="ES151" s="73"/>
      <c r="ET151" s="73"/>
      <c r="EU151" s="73"/>
      <c r="EV151" s="73"/>
      <c r="EW151" s="73"/>
      <c r="EX151" s="73"/>
      <c r="EY151" s="73"/>
      <c r="EZ151" s="73"/>
      <c r="FA151" s="73"/>
      <c r="FB151" s="73"/>
      <c r="FC151" s="73"/>
      <c r="FD151" s="73"/>
      <c r="FE151" s="73"/>
      <c r="FF151" s="73"/>
      <c r="FG151" s="73"/>
      <c r="FH151" s="73"/>
      <c r="FI151" s="73"/>
      <c r="FJ151" s="73"/>
      <c r="FK151" s="73"/>
      <c r="FL151" s="73"/>
      <c r="FM151" s="73"/>
      <c r="FN151" s="73"/>
      <c r="FO151" s="73"/>
      <c r="FP151" s="73"/>
      <c r="FQ151" s="73"/>
      <c r="FR151" s="73"/>
      <c r="FS151" s="73"/>
      <c r="FT151" s="73"/>
      <c r="FU151" s="73"/>
      <c r="FV151" s="73"/>
      <c r="FW151" s="73"/>
      <c r="FX151" s="73"/>
      <c r="FY151" s="73"/>
      <c r="FZ151" s="73"/>
      <c r="GA151" s="73"/>
      <c r="GB151" s="73"/>
      <c r="GC151" s="73"/>
      <c r="GD151" s="73"/>
      <c r="GE151" s="73"/>
      <c r="GF151" s="73"/>
      <c r="GG151" s="73"/>
      <c r="GH151" s="73"/>
      <c r="GI151" s="73"/>
      <c r="GJ151" s="73"/>
      <c r="GK151" s="73"/>
      <c r="GL151" s="73"/>
      <c r="GM151" s="73"/>
      <c r="GN151" s="73"/>
      <c r="GO151" s="73"/>
      <c r="GP151" s="73"/>
      <c r="GQ151" s="73"/>
      <c r="GR151" s="73"/>
      <c r="GS151" s="73"/>
      <c r="GT151" s="73"/>
      <c r="GU151" s="73"/>
      <c r="GV151" s="73"/>
      <c r="GW151" s="73"/>
      <c r="GX151" s="73"/>
      <c r="GY151" s="73"/>
      <c r="GZ151" s="73"/>
      <c r="HA151" s="73"/>
      <c r="HB151" s="73"/>
      <c r="HC151" s="73"/>
      <c r="HD151" s="73"/>
      <c r="HE151" s="73"/>
      <c r="HF151" s="73"/>
      <c r="HG151" s="73"/>
      <c r="HH151" s="73"/>
      <c r="HI151" s="73"/>
      <c r="HJ151" s="73"/>
      <c r="HK151" s="73"/>
      <c r="HL151" s="73"/>
      <c r="HM151" s="73"/>
      <c r="HN151" s="73"/>
      <c r="HO151" s="73"/>
      <c r="HP151" s="73"/>
      <c r="HQ151" s="73"/>
      <c r="HR151" s="73"/>
      <c r="HS151" s="73"/>
      <c r="HT151" s="73"/>
      <c r="HU151" s="73"/>
      <c r="HV151" s="73"/>
      <c r="HW151" s="73"/>
      <c r="HX151" s="73"/>
      <c r="HY151" s="73"/>
    </row>
    <row r="152" spans="1:233" ht="15" x14ac:dyDescent="0.25">
      <c r="A152" s="95" t="s">
        <v>300</v>
      </c>
      <c r="B152" s="111" t="s">
        <v>133</v>
      </c>
      <c r="C152" s="185">
        <v>26952</v>
      </c>
      <c r="D152" s="188">
        <v>25210</v>
      </c>
      <c r="E152" s="185">
        <v>52000</v>
      </c>
      <c r="F152" s="240">
        <v>0</v>
      </c>
      <c r="G152" s="173">
        <v>0</v>
      </c>
      <c r="H152" s="173">
        <v>0</v>
      </c>
      <c r="I152" s="173">
        <v>0</v>
      </c>
      <c r="J152" s="173">
        <v>0</v>
      </c>
      <c r="K152" s="173">
        <v>0</v>
      </c>
      <c r="L152" s="173">
        <v>0</v>
      </c>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c r="BM152" s="73"/>
      <c r="BN152" s="73"/>
      <c r="BO152" s="73"/>
      <c r="BP152" s="73"/>
      <c r="BQ152" s="73"/>
      <c r="BR152" s="73"/>
      <c r="BS152" s="73"/>
      <c r="BT152" s="73"/>
      <c r="BU152" s="73"/>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c r="CZ152" s="73"/>
      <c r="DA152" s="73"/>
      <c r="DB152" s="73"/>
      <c r="DC152" s="73"/>
      <c r="DD152" s="73"/>
      <c r="DE152" s="73"/>
      <c r="DF152" s="73"/>
      <c r="DG152" s="73"/>
      <c r="DH152" s="73"/>
      <c r="DI152" s="73"/>
      <c r="DJ152" s="73"/>
      <c r="DK152" s="73"/>
      <c r="DL152" s="73"/>
      <c r="DM152" s="73"/>
      <c r="DN152" s="73"/>
      <c r="DO152" s="73"/>
      <c r="DP152" s="73"/>
      <c r="DQ152" s="73"/>
      <c r="DR152" s="73"/>
      <c r="DS152" s="73"/>
      <c r="DT152" s="73"/>
      <c r="DU152" s="73"/>
      <c r="DV152" s="73"/>
      <c r="DW152" s="73"/>
      <c r="DX152" s="73"/>
      <c r="DY152" s="73"/>
      <c r="DZ152" s="73"/>
      <c r="EA152" s="73"/>
      <c r="EB152" s="73"/>
      <c r="EC152" s="73"/>
      <c r="ED152" s="73"/>
      <c r="EE152" s="73"/>
      <c r="EF152" s="73"/>
      <c r="EG152" s="73"/>
      <c r="EH152" s="73"/>
      <c r="EI152" s="73"/>
      <c r="EJ152" s="73"/>
      <c r="EK152" s="73"/>
      <c r="EL152" s="73"/>
      <c r="EM152" s="73"/>
      <c r="EN152" s="73"/>
      <c r="EO152" s="73"/>
      <c r="EP152" s="73"/>
      <c r="EQ152" s="73"/>
      <c r="ER152" s="73"/>
      <c r="ES152" s="73"/>
      <c r="ET152" s="73"/>
      <c r="EU152" s="73"/>
      <c r="EV152" s="73"/>
      <c r="EW152" s="73"/>
      <c r="EX152" s="73"/>
      <c r="EY152" s="73"/>
      <c r="EZ152" s="73"/>
      <c r="FA152" s="73"/>
      <c r="FB152" s="73"/>
      <c r="FC152" s="73"/>
      <c r="FD152" s="73"/>
      <c r="FE152" s="73"/>
      <c r="FF152" s="73"/>
      <c r="FG152" s="73"/>
      <c r="FH152" s="73"/>
      <c r="FI152" s="73"/>
      <c r="FJ152" s="73"/>
      <c r="FK152" s="73"/>
      <c r="FL152" s="73"/>
      <c r="FM152" s="73"/>
      <c r="FN152" s="73"/>
      <c r="FO152" s="73"/>
      <c r="FP152" s="73"/>
      <c r="FQ152" s="73"/>
      <c r="FR152" s="73"/>
      <c r="FS152" s="73"/>
      <c r="FT152" s="73"/>
      <c r="FU152" s="73"/>
      <c r="FV152" s="73"/>
      <c r="FW152" s="73"/>
      <c r="FX152" s="73"/>
      <c r="FY152" s="73"/>
      <c r="FZ152" s="73"/>
      <c r="GA152" s="73"/>
      <c r="GB152" s="73"/>
      <c r="GC152" s="73"/>
      <c r="GD152" s="73"/>
      <c r="GE152" s="73"/>
      <c r="GF152" s="73"/>
      <c r="GG152" s="73"/>
      <c r="GH152" s="73"/>
      <c r="GI152" s="73"/>
      <c r="GJ152" s="73"/>
      <c r="GK152" s="73"/>
      <c r="GL152" s="73"/>
      <c r="GM152" s="73"/>
      <c r="GN152" s="73"/>
      <c r="GO152" s="73"/>
      <c r="GP152" s="73"/>
      <c r="GQ152" s="73"/>
      <c r="GR152" s="73"/>
      <c r="GS152" s="73"/>
      <c r="GT152" s="73"/>
      <c r="GU152" s="73"/>
      <c r="GV152" s="73"/>
      <c r="GW152" s="73"/>
      <c r="GX152" s="73"/>
      <c r="GY152" s="73"/>
      <c r="GZ152" s="73"/>
      <c r="HA152" s="73"/>
      <c r="HB152" s="73"/>
      <c r="HC152" s="73"/>
      <c r="HD152" s="73"/>
      <c r="HE152" s="73"/>
      <c r="HF152" s="73"/>
      <c r="HG152" s="73"/>
      <c r="HH152" s="73"/>
      <c r="HI152" s="73"/>
      <c r="HJ152" s="73"/>
      <c r="HK152" s="73"/>
      <c r="HL152" s="73"/>
      <c r="HM152" s="73"/>
      <c r="HN152" s="73"/>
      <c r="HO152" s="73"/>
      <c r="HP152" s="73"/>
      <c r="HQ152" s="73"/>
      <c r="HR152" s="73"/>
      <c r="HS152" s="73"/>
      <c r="HT152" s="73"/>
      <c r="HU152" s="73"/>
      <c r="HV152" s="73"/>
      <c r="HW152" s="73"/>
      <c r="HX152" s="73"/>
      <c r="HY152" s="73"/>
    </row>
    <row r="153" spans="1:233" ht="15" x14ac:dyDescent="0.25">
      <c r="A153" s="95"/>
      <c r="B153" s="111"/>
      <c r="C153" s="187">
        <f>SUM(C150:C152)</f>
        <v>92702</v>
      </c>
      <c r="D153" s="188"/>
      <c r="E153" s="187">
        <f t="shared" ref="E153:L153" si="75">SUM(E150:E152)</f>
        <v>129500</v>
      </c>
      <c r="F153" s="254">
        <f t="shared" si="75"/>
        <v>124000</v>
      </c>
      <c r="G153" s="187">
        <f t="shared" si="75"/>
        <v>130420</v>
      </c>
      <c r="H153" s="187">
        <f t="shared" si="75"/>
        <v>137248.6</v>
      </c>
      <c r="I153" s="187">
        <f t="shared" si="75"/>
        <v>144515.33800000002</v>
      </c>
      <c r="J153" s="187">
        <f t="shared" si="75"/>
        <v>150891.53158000001</v>
      </c>
      <c r="K153" s="187">
        <f t="shared" si="75"/>
        <v>157581.45497380005</v>
      </c>
      <c r="L153" s="187">
        <f t="shared" si="75"/>
        <v>164601.86671619804</v>
      </c>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c r="CZ153" s="73"/>
      <c r="DA153" s="73"/>
      <c r="DB153" s="73"/>
      <c r="DC153" s="73"/>
      <c r="DD153" s="73"/>
      <c r="DE153" s="73"/>
      <c r="DF153" s="73"/>
      <c r="DG153" s="73"/>
      <c r="DH153" s="73"/>
      <c r="DI153" s="73"/>
      <c r="DJ153" s="73"/>
      <c r="DK153" s="73"/>
      <c r="DL153" s="73"/>
      <c r="DM153" s="73"/>
      <c r="DN153" s="73"/>
      <c r="DO153" s="73"/>
      <c r="DP153" s="73"/>
      <c r="DQ153" s="73"/>
      <c r="DR153" s="73"/>
      <c r="DS153" s="73"/>
      <c r="DT153" s="73"/>
      <c r="DU153" s="73"/>
      <c r="DV153" s="73"/>
      <c r="DW153" s="73"/>
      <c r="DX153" s="73"/>
      <c r="DY153" s="73"/>
      <c r="DZ153" s="73"/>
      <c r="EA153" s="73"/>
      <c r="EB153" s="73"/>
      <c r="EC153" s="73"/>
      <c r="ED153" s="73"/>
      <c r="EE153" s="73"/>
      <c r="EF153" s="73"/>
      <c r="EG153" s="73"/>
      <c r="EH153" s="73"/>
      <c r="EI153" s="73"/>
      <c r="EJ153" s="73"/>
      <c r="EK153" s="73"/>
      <c r="EL153" s="73"/>
      <c r="EM153" s="73"/>
      <c r="EN153" s="73"/>
      <c r="EO153" s="73"/>
      <c r="EP153" s="73"/>
      <c r="EQ153" s="73"/>
      <c r="ER153" s="73"/>
      <c r="ES153" s="73"/>
      <c r="ET153" s="73"/>
      <c r="EU153" s="73"/>
      <c r="EV153" s="73"/>
      <c r="EW153" s="73"/>
      <c r="EX153" s="73"/>
      <c r="EY153" s="73"/>
      <c r="EZ153" s="73"/>
      <c r="FA153" s="73"/>
      <c r="FB153" s="73"/>
      <c r="FC153" s="73"/>
      <c r="FD153" s="73"/>
      <c r="FE153" s="73"/>
      <c r="FF153" s="73"/>
      <c r="FG153" s="73"/>
      <c r="FH153" s="73"/>
      <c r="FI153" s="73"/>
      <c r="FJ153" s="73"/>
      <c r="FK153" s="73"/>
      <c r="FL153" s="73"/>
      <c r="FM153" s="73"/>
      <c r="FN153" s="73"/>
      <c r="FO153" s="73"/>
      <c r="FP153" s="73"/>
      <c r="FQ153" s="73"/>
      <c r="FR153" s="73"/>
      <c r="FS153" s="73"/>
      <c r="FT153" s="73"/>
      <c r="FU153" s="73"/>
      <c r="FV153" s="73"/>
      <c r="FW153" s="73"/>
      <c r="FX153" s="73"/>
      <c r="FY153" s="73"/>
      <c r="FZ153" s="73"/>
      <c r="GA153" s="73"/>
      <c r="GB153" s="73"/>
      <c r="GC153" s="73"/>
      <c r="GD153" s="73"/>
      <c r="GE153" s="73"/>
      <c r="GF153" s="73"/>
      <c r="GG153" s="73"/>
      <c r="GH153" s="73"/>
      <c r="GI153" s="73"/>
      <c r="GJ153" s="73"/>
      <c r="GK153" s="73"/>
      <c r="GL153" s="73"/>
      <c r="GM153" s="73"/>
      <c r="GN153" s="73"/>
      <c r="GO153" s="73"/>
      <c r="GP153" s="73"/>
      <c r="GQ153" s="73"/>
      <c r="GR153" s="73"/>
      <c r="GS153" s="73"/>
      <c r="GT153" s="73"/>
      <c r="GU153" s="73"/>
      <c r="GV153" s="73"/>
      <c r="GW153" s="73"/>
      <c r="GX153" s="73"/>
      <c r="GY153" s="73"/>
      <c r="GZ153" s="73"/>
      <c r="HA153" s="73"/>
      <c r="HB153" s="73"/>
      <c r="HC153" s="73"/>
      <c r="HD153" s="73"/>
      <c r="HE153" s="73"/>
      <c r="HF153" s="73"/>
      <c r="HG153" s="73"/>
      <c r="HH153" s="73"/>
      <c r="HI153" s="73"/>
      <c r="HJ153" s="73"/>
      <c r="HK153" s="73"/>
      <c r="HL153" s="73"/>
      <c r="HM153" s="73"/>
      <c r="HN153" s="73"/>
      <c r="HO153" s="73"/>
      <c r="HP153" s="73"/>
      <c r="HQ153" s="73"/>
      <c r="HR153" s="73"/>
      <c r="HS153" s="73"/>
      <c r="HT153" s="73"/>
      <c r="HU153" s="73"/>
      <c r="HV153" s="73"/>
      <c r="HW153" s="73"/>
      <c r="HX153" s="73"/>
      <c r="HY153" s="73"/>
    </row>
    <row r="154" spans="1:233" ht="15" x14ac:dyDescent="0.25">
      <c r="A154" s="95"/>
      <c r="B154" s="111"/>
      <c r="C154" s="185"/>
      <c r="D154" s="188"/>
      <c r="E154" s="185"/>
      <c r="F154" s="240"/>
      <c r="G154" s="173"/>
      <c r="H154" s="173"/>
      <c r="I154" s="173"/>
      <c r="J154" s="173"/>
      <c r="K154" s="173"/>
      <c r="L154" s="1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c r="CZ154" s="73"/>
      <c r="DA154" s="73"/>
      <c r="DB154" s="73"/>
      <c r="DC154" s="73"/>
      <c r="DD154" s="73"/>
      <c r="DE154" s="73"/>
      <c r="DF154" s="73"/>
      <c r="DG154" s="73"/>
      <c r="DH154" s="73"/>
      <c r="DI154" s="73"/>
      <c r="DJ154" s="73"/>
      <c r="DK154" s="73"/>
      <c r="DL154" s="73"/>
      <c r="DM154" s="73"/>
      <c r="DN154" s="73"/>
      <c r="DO154" s="73"/>
      <c r="DP154" s="73"/>
      <c r="DQ154" s="73"/>
      <c r="DR154" s="73"/>
      <c r="DS154" s="73"/>
      <c r="DT154" s="73"/>
      <c r="DU154" s="73"/>
      <c r="DV154" s="73"/>
      <c r="DW154" s="73"/>
      <c r="DX154" s="73"/>
      <c r="DY154" s="73"/>
      <c r="DZ154" s="73"/>
      <c r="EA154" s="73"/>
      <c r="EB154" s="73"/>
      <c r="EC154" s="73"/>
      <c r="ED154" s="73"/>
      <c r="EE154" s="73"/>
      <c r="EF154" s="73"/>
      <c r="EG154" s="73"/>
      <c r="EH154" s="73"/>
      <c r="EI154" s="73"/>
      <c r="EJ154" s="73"/>
      <c r="EK154" s="73"/>
      <c r="EL154" s="73"/>
      <c r="EM154" s="73"/>
      <c r="EN154" s="73"/>
      <c r="EO154" s="73"/>
      <c r="EP154" s="73"/>
      <c r="EQ154" s="73"/>
      <c r="ER154" s="73"/>
      <c r="ES154" s="73"/>
      <c r="ET154" s="73"/>
      <c r="EU154" s="73"/>
      <c r="EV154" s="73"/>
      <c r="EW154" s="73"/>
      <c r="EX154" s="73"/>
      <c r="EY154" s="73"/>
      <c r="EZ154" s="73"/>
      <c r="FA154" s="73"/>
      <c r="FB154" s="73"/>
      <c r="FC154" s="73"/>
      <c r="FD154" s="73"/>
      <c r="FE154" s="73"/>
      <c r="FF154" s="73"/>
      <c r="FG154" s="73"/>
      <c r="FH154" s="73"/>
      <c r="FI154" s="73"/>
      <c r="FJ154" s="73"/>
      <c r="FK154" s="73"/>
      <c r="FL154" s="73"/>
      <c r="FM154" s="73"/>
      <c r="FN154" s="73"/>
      <c r="FO154" s="73"/>
      <c r="FP154" s="73"/>
      <c r="FQ154" s="73"/>
      <c r="FR154" s="73"/>
      <c r="FS154" s="73"/>
      <c r="FT154" s="73"/>
      <c r="FU154" s="73"/>
      <c r="FV154" s="73"/>
      <c r="FW154" s="73"/>
      <c r="FX154" s="73"/>
      <c r="FY154" s="73"/>
      <c r="FZ154" s="73"/>
      <c r="GA154" s="73"/>
      <c r="GB154" s="73"/>
      <c r="GC154" s="73"/>
      <c r="GD154" s="73"/>
      <c r="GE154" s="73"/>
      <c r="GF154" s="73"/>
      <c r="GG154" s="73"/>
      <c r="GH154" s="73"/>
      <c r="GI154" s="73"/>
      <c r="GJ154" s="73"/>
      <c r="GK154" s="73"/>
      <c r="GL154" s="73"/>
      <c r="GM154" s="73"/>
      <c r="GN154" s="73"/>
      <c r="GO154" s="73"/>
      <c r="GP154" s="73"/>
      <c r="GQ154" s="73"/>
      <c r="GR154" s="73"/>
      <c r="GS154" s="73"/>
      <c r="GT154" s="73"/>
      <c r="GU154" s="73"/>
      <c r="GV154" s="73"/>
      <c r="GW154" s="73"/>
      <c r="GX154" s="73"/>
      <c r="GY154" s="73"/>
      <c r="GZ154" s="73"/>
      <c r="HA154" s="73"/>
      <c r="HB154" s="73"/>
      <c r="HC154" s="73"/>
      <c r="HD154" s="73"/>
      <c r="HE154" s="73"/>
      <c r="HF154" s="73"/>
      <c r="HG154" s="73"/>
      <c r="HH154" s="73"/>
      <c r="HI154" s="73"/>
      <c r="HJ154" s="73"/>
      <c r="HK154" s="73"/>
      <c r="HL154" s="73"/>
      <c r="HM154" s="73"/>
      <c r="HN154" s="73"/>
      <c r="HO154" s="73"/>
      <c r="HP154" s="73"/>
      <c r="HQ154" s="73"/>
      <c r="HR154" s="73"/>
      <c r="HS154" s="73"/>
      <c r="HT154" s="73"/>
      <c r="HU154" s="73"/>
      <c r="HV154" s="73"/>
      <c r="HW154" s="73"/>
      <c r="HX154" s="73"/>
      <c r="HY154" s="73"/>
    </row>
    <row r="155" spans="1:233" ht="15" x14ac:dyDescent="0.25">
      <c r="A155" s="95" t="s">
        <v>301</v>
      </c>
      <c r="B155" s="111" t="s">
        <v>137</v>
      </c>
      <c r="C155" s="185">
        <v>7147</v>
      </c>
      <c r="D155" s="188">
        <v>5910</v>
      </c>
      <c r="E155" s="185">
        <v>9000</v>
      </c>
      <c r="F155" s="240">
        <f t="shared" ref="F155:L155" si="76">SUM(F153*0.08)</f>
        <v>9920</v>
      </c>
      <c r="G155" s="185">
        <f t="shared" si="76"/>
        <v>10433.6</v>
      </c>
      <c r="H155" s="185">
        <f t="shared" si="76"/>
        <v>10979.888000000001</v>
      </c>
      <c r="I155" s="185">
        <f t="shared" si="76"/>
        <v>11561.227040000002</v>
      </c>
      <c r="J155" s="185">
        <f t="shared" si="76"/>
        <v>12071.322526400001</v>
      </c>
      <c r="K155" s="185">
        <f t="shared" si="76"/>
        <v>12606.516397904004</v>
      </c>
      <c r="L155" s="185">
        <f t="shared" si="76"/>
        <v>13168.149337295843</v>
      </c>
    </row>
    <row r="156" spans="1:233" ht="15" x14ac:dyDescent="0.25">
      <c r="A156" s="95" t="s">
        <v>302</v>
      </c>
      <c r="B156" s="111" t="s">
        <v>140</v>
      </c>
      <c r="C156" s="185">
        <v>595</v>
      </c>
      <c r="D156" s="188">
        <v>475</v>
      </c>
      <c r="E156" s="185">
        <v>800</v>
      </c>
      <c r="F156" s="240">
        <f t="shared" ref="F156:L156" si="77">SUM(F153*0.01)</f>
        <v>1240</v>
      </c>
      <c r="G156" s="185">
        <f t="shared" si="77"/>
        <v>1304.2</v>
      </c>
      <c r="H156" s="185">
        <f t="shared" si="77"/>
        <v>1372.4860000000001</v>
      </c>
      <c r="I156" s="185">
        <f t="shared" si="77"/>
        <v>1445.1533800000002</v>
      </c>
      <c r="J156" s="185">
        <f t="shared" si="77"/>
        <v>1508.9153158000001</v>
      </c>
      <c r="K156" s="185">
        <f t="shared" si="77"/>
        <v>1575.8145497380006</v>
      </c>
      <c r="L156" s="185">
        <f t="shared" si="77"/>
        <v>1646.0186671619804</v>
      </c>
    </row>
    <row r="157" spans="1:233" ht="15" x14ac:dyDescent="0.25">
      <c r="A157" s="95" t="s">
        <v>303</v>
      </c>
      <c r="B157" s="111" t="s">
        <v>156</v>
      </c>
      <c r="C157" s="185">
        <v>3474</v>
      </c>
      <c r="D157" s="185">
        <v>3278</v>
      </c>
      <c r="E157" s="185">
        <v>6600</v>
      </c>
      <c r="F157" s="240">
        <v>0</v>
      </c>
      <c r="G157" s="185">
        <v>0</v>
      </c>
      <c r="H157" s="185">
        <v>0</v>
      </c>
      <c r="I157" s="185">
        <v>0</v>
      </c>
      <c r="J157" s="185">
        <v>0</v>
      </c>
      <c r="K157" s="185">
        <v>0</v>
      </c>
      <c r="L157" s="185">
        <v>0</v>
      </c>
    </row>
    <row r="158" spans="1:233" ht="15" x14ac:dyDescent="0.25">
      <c r="A158" s="95" t="s">
        <v>304</v>
      </c>
      <c r="B158" s="111" t="s">
        <v>157</v>
      </c>
      <c r="C158" s="185">
        <v>3504</v>
      </c>
      <c r="D158" s="185">
        <v>2770</v>
      </c>
      <c r="E158" s="185">
        <v>3500</v>
      </c>
      <c r="F158" s="240">
        <f t="shared" ref="F158:L158" si="78">SUM(F153*0.05)</f>
        <v>6200</v>
      </c>
      <c r="G158" s="185">
        <f t="shared" si="78"/>
        <v>6521</v>
      </c>
      <c r="H158" s="185">
        <f t="shared" si="78"/>
        <v>6862.43</v>
      </c>
      <c r="I158" s="185">
        <f t="shared" si="78"/>
        <v>7225.7669000000014</v>
      </c>
      <c r="J158" s="185">
        <f t="shared" si="78"/>
        <v>7544.5765790000005</v>
      </c>
      <c r="K158" s="185">
        <f t="shared" si="78"/>
        <v>7879.0727486900032</v>
      </c>
      <c r="L158" s="185">
        <f t="shared" si="78"/>
        <v>8230.0933358099028</v>
      </c>
    </row>
    <row r="159" spans="1:233" ht="15" x14ac:dyDescent="0.25">
      <c r="A159" s="95" t="s">
        <v>305</v>
      </c>
      <c r="B159" s="111" t="s">
        <v>159</v>
      </c>
      <c r="C159" s="185">
        <v>11111</v>
      </c>
      <c r="D159" s="185">
        <v>14345</v>
      </c>
      <c r="E159" s="185">
        <v>24550</v>
      </c>
      <c r="F159" s="240">
        <v>22000</v>
      </c>
      <c r="G159" s="185">
        <v>22000</v>
      </c>
      <c r="H159" s="185">
        <v>22000</v>
      </c>
      <c r="I159" s="185">
        <v>22000</v>
      </c>
      <c r="J159" s="185">
        <v>22000</v>
      </c>
      <c r="K159" s="185">
        <v>22000</v>
      </c>
      <c r="L159" s="185">
        <v>22000</v>
      </c>
    </row>
    <row r="160" spans="1:233" ht="15" x14ac:dyDescent="0.25">
      <c r="A160" s="95" t="s">
        <v>306</v>
      </c>
      <c r="B160" s="111" t="s">
        <v>158</v>
      </c>
      <c r="C160" s="185">
        <v>1357</v>
      </c>
      <c r="D160" s="185">
        <v>1600</v>
      </c>
      <c r="E160" s="185">
        <v>2400</v>
      </c>
      <c r="F160" s="240">
        <v>3200</v>
      </c>
      <c r="G160" s="185">
        <v>3200</v>
      </c>
      <c r="H160" s="185">
        <v>3200</v>
      </c>
      <c r="I160" s="185">
        <v>3200</v>
      </c>
      <c r="J160" s="185">
        <v>3200</v>
      </c>
      <c r="K160" s="185">
        <v>3200</v>
      </c>
      <c r="L160" s="185">
        <v>3200</v>
      </c>
    </row>
    <row r="161" spans="1:233" ht="15" x14ac:dyDescent="0.25">
      <c r="A161" s="95" t="s">
        <v>307</v>
      </c>
      <c r="B161" s="111" t="s">
        <v>160</v>
      </c>
      <c r="C161" s="185">
        <v>5856</v>
      </c>
      <c r="D161" s="188">
        <v>6200</v>
      </c>
      <c r="E161" s="185">
        <v>9500</v>
      </c>
      <c r="F161" s="240">
        <v>9800</v>
      </c>
      <c r="G161" s="173">
        <f>SUM(F161*1.05)</f>
        <v>10290</v>
      </c>
      <c r="H161" s="173">
        <f t="shared" ref="H161:L161" si="79">SUM(G161*1.05)</f>
        <v>10804.5</v>
      </c>
      <c r="I161" s="173">
        <f t="shared" si="79"/>
        <v>11344.725</v>
      </c>
      <c r="J161" s="173">
        <f t="shared" si="79"/>
        <v>11911.96125</v>
      </c>
      <c r="K161" s="173">
        <f t="shared" si="79"/>
        <v>12507.559312500001</v>
      </c>
      <c r="L161" s="173">
        <f t="shared" si="79"/>
        <v>13132.937278125002</v>
      </c>
    </row>
    <row r="162" spans="1:233" ht="15" x14ac:dyDescent="0.25">
      <c r="A162" s="95" t="s">
        <v>308</v>
      </c>
      <c r="B162" s="111" t="s">
        <v>142</v>
      </c>
      <c r="C162" s="185">
        <v>137</v>
      </c>
      <c r="D162" s="188">
        <v>110</v>
      </c>
      <c r="E162" s="185">
        <v>200</v>
      </c>
      <c r="F162" s="240">
        <v>160</v>
      </c>
      <c r="G162" s="173">
        <f>SUM(G153*0.0015)</f>
        <v>195.63</v>
      </c>
      <c r="H162" s="173">
        <f>SUM(H153*0.0015)</f>
        <v>205.87290000000002</v>
      </c>
      <c r="I162" s="173">
        <f t="shared" ref="I162:L162" si="80">SUM(I153*0.0015)</f>
        <v>216.77300700000004</v>
      </c>
      <c r="J162" s="173">
        <f t="shared" si="80"/>
        <v>226.33729737000002</v>
      </c>
      <c r="K162" s="173">
        <f t="shared" si="80"/>
        <v>236.37218246070009</v>
      </c>
      <c r="L162" s="173">
        <f t="shared" si="80"/>
        <v>246.90280007429706</v>
      </c>
    </row>
    <row r="163" spans="1:233" s="84" customFormat="1" ht="15" x14ac:dyDescent="0.25">
      <c r="A163" s="95" t="s">
        <v>309</v>
      </c>
      <c r="B163" s="115" t="s">
        <v>161</v>
      </c>
      <c r="C163" s="172">
        <v>0</v>
      </c>
      <c r="D163" s="172"/>
      <c r="E163" s="172">
        <v>0</v>
      </c>
      <c r="F163" s="240">
        <f t="shared" ref="F163" si="81">E163*1.03</f>
        <v>0</v>
      </c>
      <c r="G163" s="174">
        <v>0</v>
      </c>
      <c r="H163" s="174">
        <v>0</v>
      </c>
      <c r="I163" s="174">
        <v>0</v>
      </c>
      <c r="J163" s="174">
        <v>0</v>
      </c>
      <c r="K163" s="174">
        <v>0</v>
      </c>
      <c r="L163" s="174">
        <v>0</v>
      </c>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c r="BI163" s="83"/>
      <c r="BJ163" s="83"/>
      <c r="BK163" s="83"/>
      <c r="BL163" s="83"/>
      <c r="BM163" s="83"/>
      <c r="BN163" s="83"/>
      <c r="BO163" s="83"/>
      <c r="BP163" s="83"/>
      <c r="BQ163" s="83"/>
      <c r="BR163" s="83"/>
      <c r="BS163" s="83"/>
      <c r="BT163" s="83"/>
      <c r="BU163" s="83"/>
      <c r="BV163" s="83"/>
      <c r="BW163" s="83"/>
      <c r="BX163" s="83"/>
      <c r="BY163" s="83"/>
      <c r="BZ163" s="83"/>
      <c r="CA163" s="83"/>
      <c r="CB163" s="83"/>
      <c r="CC163" s="83"/>
      <c r="CD163" s="83"/>
      <c r="CE163" s="83"/>
      <c r="CF163" s="83"/>
      <c r="CG163" s="83"/>
      <c r="CH163" s="83"/>
      <c r="CI163" s="83"/>
      <c r="CJ163" s="83"/>
      <c r="CK163" s="83"/>
      <c r="CL163" s="83"/>
      <c r="CM163" s="83"/>
      <c r="CN163" s="83"/>
      <c r="CO163" s="83"/>
      <c r="CP163" s="83"/>
      <c r="CQ163" s="83"/>
      <c r="CR163" s="83"/>
      <c r="CS163" s="83"/>
      <c r="CT163" s="83"/>
      <c r="CU163" s="83"/>
      <c r="CV163" s="83"/>
      <c r="CW163" s="83"/>
      <c r="CX163" s="83"/>
      <c r="CY163" s="83"/>
      <c r="CZ163" s="83"/>
      <c r="DA163" s="83"/>
      <c r="DB163" s="83"/>
      <c r="DC163" s="83"/>
      <c r="DD163" s="83"/>
      <c r="DE163" s="83"/>
      <c r="DF163" s="83"/>
      <c r="DG163" s="83"/>
      <c r="DH163" s="83"/>
      <c r="DI163" s="83"/>
      <c r="DJ163" s="83"/>
      <c r="DK163" s="83"/>
      <c r="DL163" s="83"/>
      <c r="DM163" s="83"/>
      <c r="DN163" s="83"/>
      <c r="DO163" s="83"/>
      <c r="DP163" s="83"/>
      <c r="DQ163" s="83"/>
      <c r="DR163" s="83"/>
      <c r="DS163" s="83"/>
      <c r="DT163" s="83"/>
      <c r="DU163" s="83"/>
      <c r="DV163" s="83"/>
      <c r="DW163" s="83"/>
      <c r="DX163" s="83"/>
      <c r="DY163" s="83"/>
      <c r="DZ163" s="83"/>
      <c r="EA163" s="83"/>
      <c r="EB163" s="83"/>
      <c r="EC163" s="83"/>
      <c r="ED163" s="83"/>
      <c r="EE163" s="83"/>
      <c r="EF163" s="83"/>
      <c r="EG163" s="83"/>
      <c r="EH163" s="83"/>
      <c r="EI163" s="83"/>
      <c r="EJ163" s="83"/>
      <c r="EK163" s="83"/>
      <c r="EL163" s="83"/>
      <c r="EM163" s="83"/>
      <c r="EN163" s="83"/>
      <c r="EO163" s="83"/>
      <c r="EP163" s="83"/>
      <c r="EQ163" s="83"/>
      <c r="ER163" s="83"/>
      <c r="ES163" s="83"/>
      <c r="ET163" s="83"/>
      <c r="EU163" s="83"/>
      <c r="EV163" s="83"/>
      <c r="EW163" s="83"/>
      <c r="EX163" s="83"/>
      <c r="EY163" s="83"/>
      <c r="EZ163" s="83"/>
      <c r="FA163" s="83"/>
      <c r="FB163" s="83"/>
      <c r="FC163" s="83"/>
      <c r="FD163" s="83"/>
      <c r="FE163" s="83"/>
      <c r="FF163" s="83"/>
      <c r="FG163" s="83"/>
      <c r="FH163" s="83"/>
      <c r="FI163" s="83"/>
      <c r="FJ163" s="83"/>
      <c r="FK163" s="83"/>
      <c r="FL163" s="83"/>
      <c r="FM163" s="83"/>
      <c r="FN163" s="83"/>
      <c r="FO163" s="83"/>
      <c r="FP163" s="83"/>
      <c r="FQ163" s="83"/>
      <c r="FR163" s="83"/>
      <c r="FS163" s="83"/>
      <c r="FT163" s="83"/>
      <c r="FU163" s="83"/>
      <c r="FV163" s="83"/>
      <c r="FW163" s="83"/>
      <c r="FX163" s="83"/>
      <c r="FY163" s="83"/>
      <c r="FZ163" s="83"/>
      <c r="GA163" s="83"/>
      <c r="GB163" s="83"/>
      <c r="GC163" s="83"/>
      <c r="GD163" s="83"/>
      <c r="GE163" s="83"/>
      <c r="GF163" s="83"/>
      <c r="GG163" s="83"/>
      <c r="GH163" s="83"/>
      <c r="GI163" s="83"/>
      <c r="GJ163" s="83"/>
      <c r="GK163" s="83"/>
      <c r="GL163" s="83"/>
      <c r="GM163" s="83"/>
      <c r="GN163" s="83"/>
      <c r="GO163" s="83"/>
      <c r="GP163" s="83"/>
      <c r="GQ163" s="83"/>
      <c r="GR163" s="83"/>
      <c r="GS163" s="83"/>
      <c r="GT163" s="83"/>
      <c r="GU163" s="83"/>
      <c r="GV163" s="83"/>
      <c r="GW163" s="83"/>
      <c r="GX163" s="83"/>
      <c r="GY163" s="83"/>
      <c r="GZ163" s="83"/>
      <c r="HA163" s="83"/>
      <c r="HB163" s="83"/>
      <c r="HC163" s="83"/>
      <c r="HD163" s="83"/>
      <c r="HE163" s="83"/>
      <c r="HF163" s="83"/>
      <c r="HG163" s="83"/>
      <c r="HH163" s="83"/>
      <c r="HI163" s="83"/>
      <c r="HJ163" s="83"/>
      <c r="HK163" s="83"/>
      <c r="HL163" s="83"/>
      <c r="HM163" s="83"/>
      <c r="HN163" s="83"/>
      <c r="HO163" s="83"/>
      <c r="HP163" s="83"/>
      <c r="HQ163" s="83"/>
      <c r="HR163" s="83"/>
      <c r="HS163" s="83"/>
      <c r="HT163" s="83"/>
      <c r="HU163" s="83"/>
      <c r="HV163" s="83"/>
      <c r="HW163" s="83"/>
      <c r="HX163" s="83"/>
      <c r="HY163" s="83"/>
    </row>
    <row r="164" spans="1:233" ht="15" x14ac:dyDescent="0.25">
      <c r="A164" s="95" t="s">
        <v>310</v>
      </c>
      <c r="B164" s="114" t="s">
        <v>311</v>
      </c>
      <c r="C164" s="185">
        <v>2481</v>
      </c>
      <c r="D164" s="185">
        <v>1300</v>
      </c>
      <c r="E164" s="185">
        <v>3700</v>
      </c>
      <c r="F164" s="240">
        <v>3700</v>
      </c>
      <c r="G164" s="173">
        <v>3700</v>
      </c>
      <c r="H164" s="173">
        <v>3700</v>
      </c>
      <c r="I164" s="173">
        <v>3700</v>
      </c>
      <c r="J164" s="173">
        <v>3700</v>
      </c>
      <c r="K164" s="173">
        <v>3700</v>
      </c>
      <c r="L164" s="173">
        <v>3700</v>
      </c>
    </row>
    <row r="165" spans="1:233" ht="15" x14ac:dyDescent="0.25">
      <c r="A165" s="95" t="s">
        <v>312</v>
      </c>
      <c r="B165" s="111" t="s">
        <v>459</v>
      </c>
      <c r="C165" s="185">
        <v>67</v>
      </c>
      <c r="D165" s="185">
        <v>160</v>
      </c>
      <c r="E165" s="185">
        <v>180</v>
      </c>
      <c r="F165" s="240">
        <v>190</v>
      </c>
      <c r="G165" s="173">
        <f>SUM(F165*1.03)</f>
        <v>195.70000000000002</v>
      </c>
      <c r="H165" s="173">
        <f t="shared" ref="H165:L165" si="82">SUM(G165*1.03)</f>
        <v>201.57100000000003</v>
      </c>
      <c r="I165" s="173">
        <f t="shared" si="82"/>
        <v>207.61813000000004</v>
      </c>
      <c r="J165" s="173">
        <f t="shared" si="82"/>
        <v>213.84667390000004</v>
      </c>
      <c r="K165" s="173">
        <f t="shared" si="82"/>
        <v>220.26207411700005</v>
      </c>
      <c r="L165" s="173">
        <f t="shared" si="82"/>
        <v>226.86993634051007</v>
      </c>
    </row>
    <row r="166" spans="1:233" ht="15" x14ac:dyDescent="0.25">
      <c r="A166" s="95"/>
      <c r="B166" s="111"/>
      <c r="C166" s="187">
        <v>35733</v>
      </c>
      <c r="D166" s="185"/>
      <c r="E166" s="187">
        <f t="shared" ref="E166:L166" si="83">SUM(E155:E165)</f>
        <v>60430</v>
      </c>
      <c r="F166" s="254">
        <f t="shared" si="83"/>
        <v>56410</v>
      </c>
      <c r="G166" s="187">
        <f t="shared" si="83"/>
        <v>57840.13</v>
      </c>
      <c r="H166" s="187">
        <f t="shared" si="83"/>
        <v>59326.747900000009</v>
      </c>
      <c r="I166" s="187">
        <f t="shared" si="83"/>
        <v>60901.263457000008</v>
      </c>
      <c r="J166" s="187">
        <f t="shared" si="83"/>
        <v>62376.959642470007</v>
      </c>
      <c r="K166" s="187">
        <f t="shared" si="83"/>
        <v>63925.597265409713</v>
      </c>
      <c r="L166" s="187">
        <f t="shared" si="83"/>
        <v>65550.971354807523</v>
      </c>
    </row>
    <row r="167" spans="1:233" ht="15" x14ac:dyDescent="0.25">
      <c r="A167" s="95"/>
      <c r="B167" s="111"/>
      <c r="C167" s="185"/>
      <c r="D167" s="185"/>
      <c r="E167" s="185"/>
      <c r="F167" s="240"/>
      <c r="G167" s="173"/>
      <c r="H167" s="173"/>
      <c r="I167" s="173"/>
      <c r="J167" s="173"/>
      <c r="K167" s="173"/>
      <c r="L167" s="173"/>
    </row>
    <row r="168" spans="1:233" ht="15" x14ac:dyDescent="0.25">
      <c r="A168" s="121" t="s">
        <v>249</v>
      </c>
      <c r="B168" s="124" t="s">
        <v>461</v>
      </c>
      <c r="C168" s="185">
        <v>5900</v>
      </c>
      <c r="D168" s="185">
        <v>8670</v>
      </c>
      <c r="E168" s="185">
        <v>8000</v>
      </c>
      <c r="F168" s="240">
        <v>8000</v>
      </c>
      <c r="G168" s="173">
        <v>15000</v>
      </c>
      <c r="H168" s="173">
        <f>SUM(G168*1.05)</f>
        <v>15750</v>
      </c>
      <c r="I168" s="173">
        <f t="shared" ref="I168:L168" si="84">SUM(H168*1.05)</f>
        <v>16537.5</v>
      </c>
      <c r="J168" s="173">
        <f t="shared" si="84"/>
        <v>17364.375</v>
      </c>
      <c r="K168" s="173">
        <f t="shared" si="84"/>
        <v>18232.59375</v>
      </c>
      <c r="L168" s="173">
        <f t="shared" si="84"/>
        <v>19144.223437500001</v>
      </c>
    </row>
    <row r="169" spans="1:233" ht="15" x14ac:dyDescent="0.25">
      <c r="A169" s="121"/>
      <c r="B169" s="124"/>
      <c r="C169" s="187">
        <v>5900</v>
      </c>
      <c r="D169" s="185"/>
      <c r="E169" s="187">
        <f t="shared" ref="E169:L169" si="85">SUM(E168)</f>
        <v>8000</v>
      </c>
      <c r="F169" s="254">
        <f t="shared" si="85"/>
        <v>8000</v>
      </c>
      <c r="G169" s="187">
        <f t="shared" si="85"/>
        <v>15000</v>
      </c>
      <c r="H169" s="187">
        <f t="shared" si="85"/>
        <v>15750</v>
      </c>
      <c r="I169" s="187">
        <f t="shared" si="85"/>
        <v>16537.5</v>
      </c>
      <c r="J169" s="187">
        <f t="shared" si="85"/>
        <v>17364.375</v>
      </c>
      <c r="K169" s="187">
        <f t="shared" si="85"/>
        <v>18232.59375</v>
      </c>
      <c r="L169" s="187">
        <f t="shared" si="85"/>
        <v>19144.223437500001</v>
      </c>
    </row>
    <row r="170" spans="1:233" ht="15" x14ac:dyDescent="0.25">
      <c r="A170" s="121"/>
      <c r="B170" s="124"/>
      <c r="C170" s="185"/>
      <c r="D170" s="185"/>
      <c r="E170" s="185"/>
      <c r="F170" s="240"/>
      <c r="G170" s="173"/>
      <c r="H170" s="173"/>
      <c r="I170" s="173"/>
      <c r="J170" s="173"/>
      <c r="K170" s="173"/>
      <c r="L170" s="173"/>
    </row>
    <row r="171" spans="1:233" ht="15" x14ac:dyDescent="0.25">
      <c r="A171" s="121" t="s">
        <v>250</v>
      </c>
      <c r="B171" s="124" t="s">
        <v>460</v>
      </c>
      <c r="C171" s="185">
        <v>885</v>
      </c>
      <c r="D171" s="185">
        <v>0</v>
      </c>
      <c r="E171" s="185">
        <v>2000</v>
      </c>
      <c r="F171" s="240">
        <v>1000</v>
      </c>
      <c r="G171" s="173">
        <v>5000</v>
      </c>
      <c r="H171" s="173">
        <v>5000</v>
      </c>
      <c r="I171" s="173">
        <v>5000</v>
      </c>
      <c r="J171" s="173">
        <v>5000</v>
      </c>
      <c r="K171" s="173">
        <v>2000</v>
      </c>
      <c r="L171" s="173">
        <v>2000</v>
      </c>
    </row>
    <row r="172" spans="1:233" ht="15" x14ac:dyDescent="0.25">
      <c r="A172" s="121"/>
      <c r="B172" s="124"/>
      <c r="C172" s="187">
        <v>885</v>
      </c>
      <c r="D172" s="185"/>
      <c r="E172" s="187">
        <f t="shared" ref="E172:L172" si="86">SUM(E171)</f>
        <v>2000</v>
      </c>
      <c r="F172" s="254">
        <f t="shared" si="86"/>
        <v>1000</v>
      </c>
      <c r="G172" s="187">
        <f t="shared" si="86"/>
        <v>5000</v>
      </c>
      <c r="H172" s="187">
        <f t="shared" si="86"/>
        <v>5000</v>
      </c>
      <c r="I172" s="187">
        <f t="shared" si="86"/>
        <v>5000</v>
      </c>
      <c r="J172" s="187">
        <f t="shared" si="86"/>
        <v>5000</v>
      </c>
      <c r="K172" s="187">
        <f t="shared" si="86"/>
        <v>2000</v>
      </c>
      <c r="L172" s="187">
        <f t="shared" si="86"/>
        <v>2000</v>
      </c>
    </row>
    <row r="173" spans="1:233" ht="15" x14ac:dyDescent="0.25">
      <c r="A173" s="121"/>
      <c r="B173" s="124"/>
      <c r="C173" s="185"/>
      <c r="D173" s="185"/>
      <c r="E173" s="185"/>
      <c r="F173" s="240"/>
      <c r="G173" s="173"/>
      <c r="H173" s="173"/>
      <c r="I173" s="173"/>
      <c r="J173" s="173"/>
      <c r="K173" s="173"/>
      <c r="L173" s="173"/>
    </row>
    <row r="174" spans="1:233" ht="15" x14ac:dyDescent="0.25">
      <c r="A174" s="116" t="s">
        <v>251</v>
      </c>
      <c r="B174" s="115" t="s">
        <v>186</v>
      </c>
      <c r="C174" s="172">
        <v>4703</v>
      </c>
      <c r="D174" s="172">
        <v>2710</v>
      </c>
      <c r="E174" s="185">
        <v>2500</v>
      </c>
      <c r="F174" s="240">
        <v>2500</v>
      </c>
      <c r="G174" s="173">
        <v>0</v>
      </c>
      <c r="H174" s="173">
        <v>5000</v>
      </c>
      <c r="I174" s="173">
        <v>0</v>
      </c>
      <c r="J174" s="173">
        <v>0</v>
      </c>
      <c r="K174" s="173">
        <v>5000</v>
      </c>
      <c r="L174" s="173">
        <v>0</v>
      </c>
    </row>
    <row r="175" spans="1:233" ht="15" x14ac:dyDescent="0.25">
      <c r="A175" s="119" t="s">
        <v>391</v>
      </c>
      <c r="B175" s="115" t="s">
        <v>393</v>
      </c>
      <c r="C175" s="172">
        <v>0</v>
      </c>
      <c r="D175" s="172">
        <v>0</v>
      </c>
      <c r="E175" s="185">
        <v>0</v>
      </c>
      <c r="F175" s="240">
        <v>0</v>
      </c>
      <c r="G175" s="173">
        <v>0</v>
      </c>
      <c r="H175" s="173">
        <v>0</v>
      </c>
      <c r="I175" s="173">
        <v>0</v>
      </c>
      <c r="J175" s="173">
        <v>0</v>
      </c>
      <c r="K175" s="173">
        <v>0</v>
      </c>
      <c r="L175" s="173">
        <v>0</v>
      </c>
    </row>
    <row r="176" spans="1:233" ht="15" x14ac:dyDescent="0.25">
      <c r="A176" s="119" t="s">
        <v>392</v>
      </c>
      <c r="B176" s="115" t="s">
        <v>394</v>
      </c>
      <c r="C176" s="172">
        <v>0</v>
      </c>
      <c r="D176" s="172">
        <v>0</v>
      </c>
      <c r="E176" s="185">
        <v>0</v>
      </c>
      <c r="F176" s="240">
        <v>0</v>
      </c>
      <c r="G176" s="173">
        <v>0</v>
      </c>
      <c r="H176" s="173">
        <v>0</v>
      </c>
      <c r="I176" s="187">
        <v>0</v>
      </c>
      <c r="J176" s="173">
        <v>0</v>
      </c>
      <c r="K176" s="173">
        <v>0</v>
      </c>
      <c r="L176" s="173">
        <v>0</v>
      </c>
    </row>
    <row r="177" spans="1:233" ht="15" x14ac:dyDescent="0.25">
      <c r="A177" s="119"/>
      <c r="B177" s="115"/>
      <c r="C177" s="190">
        <f>SUM(C174:C176)</f>
        <v>4703</v>
      </c>
      <c r="D177" s="172"/>
      <c r="E177" s="187">
        <f t="shared" ref="E177:L177" si="87">SUM(E174:E176)</f>
        <v>2500</v>
      </c>
      <c r="F177" s="254">
        <f t="shared" si="87"/>
        <v>2500</v>
      </c>
      <c r="G177" s="187">
        <f t="shared" si="87"/>
        <v>0</v>
      </c>
      <c r="H177" s="187">
        <f t="shared" si="87"/>
        <v>5000</v>
      </c>
      <c r="I177" s="187">
        <f t="shared" si="87"/>
        <v>0</v>
      </c>
      <c r="J177" s="187">
        <f t="shared" si="87"/>
        <v>0</v>
      </c>
      <c r="K177" s="187">
        <f t="shared" si="87"/>
        <v>5000</v>
      </c>
      <c r="L177" s="187">
        <f t="shared" si="87"/>
        <v>0</v>
      </c>
    </row>
    <row r="178" spans="1:233" ht="15" x14ac:dyDescent="0.25">
      <c r="A178" s="119"/>
      <c r="B178" s="115"/>
      <c r="C178" s="172"/>
      <c r="D178" s="172"/>
      <c r="E178" s="185"/>
      <c r="F178" s="240"/>
      <c r="G178" s="173"/>
      <c r="H178" s="173"/>
      <c r="I178" s="173"/>
      <c r="J178" s="173"/>
      <c r="K178" s="173"/>
      <c r="L178" s="173"/>
    </row>
    <row r="179" spans="1:233" ht="15" x14ac:dyDescent="0.25">
      <c r="A179" s="116" t="s">
        <v>252</v>
      </c>
      <c r="B179" s="129" t="s">
        <v>170</v>
      </c>
      <c r="C179" s="172">
        <v>1455</v>
      </c>
      <c r="D179" s="172">
        <v>330</v>
      </c>
      <c r="E179" s="185">
        <v>2000</v>
      </c>
      <c r="F179" s="240">
        <v>2000</v>
      </c>
      <c r="G179" s="173">
        <v>2500</v>
      </c>
      <c r="H179" s="173">
        <v>0</v>
      </c>
      <c r="I179" s="174">
        <f>SUM(G179*1.2)</f>
        <v>3000</v>
      </c>
      <c r="J179" s="173">
        <v>0</v>
      </c>
      <c r="K179" s="174">
        <f>SUM(I179*1.2)</f>
        <v>3600</v>
      </c>
      <c r="L179" s="173">
        <v>0</v>
      </c>
    </row>
    <row r="180" spans="1:233" s="84" customFormat="1" ht="30" x14ac:dyDescent="0.2">
      <c r="A180" s="116" t="s">
        <v>253</v>
      </c>
      <c r="B180" s="129" t="s">
        <v>184</v>
      </c>
      <c r="C180" s="172">
        <v>9119</v>
      </c>
      <c r="D180" s="169">
        <v>2990</v>
      </c>
      <c r="E180" s="172">
        <v>18000</v>
      </c>
      <c r="F180" s="276">
        <v>35000</v>
      </c>
      <c r="G180" s="174">
        <v>70000</v>
      </c>
      <c r="H180" s="174">
        <v>35000</v>
      </c>
      <c r="I180" s="174">
        <f>SUM(G180*1.1)</f>
        <v>77000</v>
      </c>
      <c r="J180" s="174">
        <f>SUM(H180*1.1)</f>
        <v>38500</v>
      </c>
      <c r="K180" s="174">
        <f>SUM(I180*1.1)</f>
        <v>84700</v>
      </c>
      <c r="L180" s="174">
        <f>SUM(J180*1.1)</f>
        <v>42350</v>
      </c>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c r="BI180" s="83"/>
      <c r="BJ180" s="83"/>
      <c r="BK180" s="83"/>
      <c r="BL180" s="83"/>
      <c r="BM180" s="83"/>
      <c r="BN180" s="83"/>
      <c r="BO180" s="83"/>
      <c r="BP180" s="83"/>
      <c r="BQ180" s="83"/>
      <c r="BR180" s="83"/>
      <c r="BS180" s="83"/>
      <c r="BT180" s="83"/>
      <c r="BU180" s="83"/>
      <c r="BV180" s="83"/>
      <c r="BW180" s="83"/>
      <c r="BX180" s="83"/>
      <c r="BY180" s="83"/>
      <c r="BZ180" s="83"/>
      <c r="CA180" s="83"/>
      <c r="CB180" s="83"/>
      <c r="CC180" s="83"/>
      <c r="CD180" s="83"/>
      <c r="CE180" s="83"/>
      <c r="CF180" s="83"/>
      <c r="CG180" s="83"/>
      <c r="CH180" s="83"/>
      <c r="CI180" s="83"/>
      <c r="CJ180" s="83"/>
      <c r="CK180" s="83"/>
      <c r="CL180" s="83"/>
      <c r="CM180" s="83"/>
      <c r="CN180" s="83"/>
      <c r="CO180" s="83"/>
      <c r="CP180" s="83"/>
      <c r="CQ180" s="83"/>
      <c r="CR180" s="83"/>
      <c r="CS180" s="83"/>
      <c r="CT180" s="83"/>
      <c r="CU180" s="83"/>
      <c r="CV180" s="83"/>
      <c r="CW180" s="83"/>
      <c r="CX180" s="83"/>
      <c r="CY180" s="83"/>
      <c r="CZ180" s="83"/>
      <c r="DA180" s="83"/>
      <c r="DB180" s="83"/>
      <c r="DC180" s="83"/>
      <c r="DD180" s="83"/>
      <c r="DE180" s="83"/>
      <c r="DF180" s="83"/>
      <c r="DG180" s="83"/>
      <c r="DH180" s="83"/>
      <c r="DI180" s="83"/>
      <c r="DJ180" s="83"/>
      <c r="DK180" s="83"/>
      <c r="DL180" s="83"/>
      <c r="DM180" s="83"/>
      <c r="DN180" s="83"/>
      <c r="DO180" s="83"/>
      <c r="DP180" s="83"/>
      <c r="DQ180" s="83"/>
      <c r="DR180" s="83"/>
      <c r="DS180" s="83"/>
      <c r="DT180" s="83"/>
      <c r="DU180" s="83"/>
      <c r="DV180" s="83"/>
      <c r="DW180" s="83"/>
      <c r="DX180" s="83"/>
      <c r="DY180" s="83"/>
      <c r="DZ180" s="83"/>
      <c r="EA180" s="83"/>
      <c r="EB180" s="83"/>
      <c r="EC180" s="83"/>
      <c r="ED180" s="83"/>
      <c r="EE180" s="83"/>
      <c r="EF180" s="83"/>
      <c r="EG180" s="83"/>
      <c r="EH180" s="83"/>
      <c r="EI180" s="83"/>
      <c r="EJ180" s="83"/>
      <c r="EK180" s="83"/>
      <c r="EL180" s="83"/>
      <c r="EM180" s="83"/>
      <c r="EN180" s="83"/>
      <c r="EO180" s="83"/>
      <c r="EP180" s="83"/>
      <c r="EQ180" s="83"/>
      <c r="ER180" s="83"/>
      <c r="ES180" s="83"/>
      <c r="ET180" s="83"/>
      <c r="EU180" s="83"/>
      <c r="EV180" s="83"/>
      <c r="EW180" s="83"/>
      <c r="EX180" s="83"/>
      <c r="EY180" s="83"/>
      <c r="EZ180" s="83"/>
      <c r="FA180" s="83"/>
      <c r="FB180" s="83"/>
      <c r="FC180" s="83"/>
      <c r="FD180" s="83"/>
      <c r="FE180" s="83"/>
      <c r="FF180" s="83"/>
      <c r="FG180" s="83"/>
      <c r="FH180" s="83"/>
      <c r="FI180" s="83"/>
      <c r="FJ180" s="83"/>
      <c r="FK180" s="83"/>
      <c r="FL180" s="83"/>
      <c r="FM180" s="83"/>
      <c r="FN180" s="83"/>
      <c r="FO180" s="83"/>
      <c r="FP180" s="83"/>
      <c r="FQ180" s="83"/>
      <c r="FR180" s="83"/>
      <c r="FS180" s="83"/>
      <c r="FT180" s="83"/>
      <c r="FU180" s="83"/>
      <c r="FV180" s="83"/>
      <c r="FW180" s="83"/>
      <c r="FX180" s="83"/>
      <c r="FY180" s="83"/>
      <c r="FZ180" s="83"/>
      <c r="GA180" s="83"/>
      <c r="GB180" s="83"/>
      <c r="GC180" s="83"/>
      <c r="GD180" s="83"/>
      <c r="GE180" s="83"/>
      <c r="GF180" s="83"/>
      <c r="GG180" s="83"/>
      <c r="GH180" s="83"/>
      <c r="GI180" s="83"/>
      <c r="GJ180" s="83"/>
      <c r="GK180" s="83"/>
      <c r="GL180" s="83"/>
      <c r="GM180" s="83"/>
      <c r="GN180" s="83"/>
      <c r="GO180" s="83"/>
      <c r="GP180" s="83"/>
      <c r="GQ180" s="83"/>
      <c r="GR180" s="83"/>
      <c r="GS180" s="83"/>
      <c r="GT180" s="83"/>
      <c r="GU180" s="83"/>
      <c r="GV180" s="83"/>
      <c r="GW180" s="83"/>
      <c r="GX180" s="83"/>
      <c r="GY180" s="83"/>
      <c r="GZ180" s="83"/>
      <c r="HA180" s="83"/>
      <c r="HB180" s="83"/>
      <c r="HC180" s="83"/>
      <c r="HD180" s="83"/>
      <c r="HE180" s="83"/>
      <c r="HF180" s="83"/>
      <c r="HG180" s="83"/>
      <c r="HH180" s="83"/>
      <c r="HI180" s="83"/>
      <c r="HJ180" s="83"/>
      <c r="HK180" s="83"/>
      <c r="HL180" s="83"/>
      <c r="HM180" s="83"/>
      <c r="HN180" s="83"/>
      <c r="HO180" s="83"/>
      <c r="HP180" s="83"/>
      <c r="HQ180" s="83"/>
      <c r="HR180" s="83"/>
      <c r="HS180" s="83"/>
      <c r="HT180" s="83"/>
      <c r="HU180" s="83"/>
      <c r="HV180" s="83"/>
      <c r="HW180" s="83"/>
      <c r="HX180" s="83"/>
      <c r="HY180" s="83"/>
    </row>
    <row r="181" spans="1:233" ht="15" x14ac:dyDescent="0.25">
      <c r="A181" s="116"/>
      <c r="B181" s="129"/>
      <c r="C181" s="190">
        <v>10574</v>
      </c>
      <c r="D181" s="169"/>
      <c r="E181" s="187">
        <f t="shared" ref="E181:L181" si="88">SUM(E179:E180)</f>
        <v>20000</v>
      </c>
      <c r="F181" s="254">
        <f t="shared" si="88"/>
        <v>37000</v>
      </c>
      <c r="G181" s="187">
        <f t="shared" si="88"/>
        <v>72500</v>
      </c>
      <c r="H181" s="187">
        <f t="shared" si="88"/>
        <v>35000</v>
      </c>
      <c r="I181" s="187">
        <f t="shared" si="88"/>
        <v>80000</v>
      </c>
      <c r="J181" s="187">
        <f t="shared" si="88"/>
        <v>38500</v>
      </c>
      <c r="K181" s="187">
        <f t="shared" si="88"/>
        <v>88300</v>
      </c>
      <c r="L181" s="187">
        <f t="shared" si="88"/>
        <v>42350</v>
      </c>
    </row>
    <row r="182" spans="1:233" ht="15" x14ac:dyDescent="0.25">
      <c r="A182" s="116"/>
      <c r="B182" s="129"/>
      <c r="C182" s="172"/>
      <c r="D182" s="169"/>
      <c r="E182" s="185"/>
      <c r="F182" s="240"/>
      <c r="G182" s="173"/>
      <c r="H182" s="173"/>
      <c r="I182" s="173"/>
      <c r="J182" s="173"/>
      <c r="K182" s="173"/>
      <c r="L182" s="173"/>
    </row>
    <row r="183" spans="1:233" ht="15" x14ac:dyDescent="0.25">
      <c r="A183" s="121" t="s">
        <v>254</v>
      </c>
      <c r="B183" s="124" t="s">
        <v>187</v>
      </c>
      <c r="C183" s="185">
        <v>10431</v>
      </c>
      <c r="D183" s="170">
        <v>2190</v>
      </c>
      <c r="E183" s="185">
        <v>6000</v>
      </c>
      <c r="F183" s="240">
        <v>4000</v>
      </c>
      <c r="G183" s="173">
        <v>5000</v>
      </c>
      <c r="H183" s="173">
        <f>SUM(G183*1.05)</f>
        <v>5250</v>
      </c>
      <c r="I183" s="173">
        <f t="shared" ref="I183:L183" si="89">SUM(H183*1.05)</f>
        <v>5512.5</v>
      </c>
      <c r="J183" s="173">
        <f t="shared" si="89"/>
        <v>5788.125</v>
      </c>
      <c r="K183" s="173">
        <f t="shared" si="89"/>
        <v>6077.53125</v>
      </c>
      <c r="L183" s="173">
        <f t="shared" si="89"/>
        <v>6381.4078125000005</v>
      </c>
    </row>
    <row r="184" spans="1:233" ht="15" x14ac:dyDescent="0.25">
      <c r="A184" s="121"/>
      <c r="B184" s="124"/>
      <c r="C184" s="187">
        <f>SUM(C183)</f>
        <v>10431</v>
      </c>
      <c r="D184" s="185"/>
      <c r="E184" s="187">
        <f t="shared" ref="E184:L184" si="90">SUM(E183)</f>
        <v>6000</v>
      </c>
      <c r="F184" s="254">
        <f t="shared" si="90"/>
        <v>4000</v>
      </c>
      <c r="G184" s="187">
        <f t="shared" si="90"/>
        <v>5000</v>
      </c>
      <c r="H184" s="187">
        <f t="shared" si="90"/>
        <v>5250</v>
      </c>
      <c r="I184" s="187">
        <f t="shared" si="90"/>
        <v>5512.5</v>
      </c>
      <c r="J184" s="187">
        <f t="shared" si="90"/>
        <v>5788.125</v>
      </c>
      <c r="K184" s="187">
        <f t="shared" si="90"/>
        <v>6077.53125</v>
      </c>
      <c r="L184" s="187">
        <f t="shared" si="90"/>
        <v>6381.4078125000005</v>
      </c>
    </row>
    <row r="185" spans="1:233" ht="15" x14ac:dyDescent="0.25">
      <c r="A185" s="121"/>
      <c r="B185" s="124"/>
      <c r="C185" s="185"/>
      <c r="D185" s="185"/>
      <c r="E185" s="185"/>
      <c r="F185" s="240"/>
      <c r="G185" s="173"/>
      <c r="H185" s="173"/>
      <c r="I185" s="173"/>
      <c r="J185" s="173"/>
      <c r="K185" s="173"/>
      <c r="L185" s="173"/>
    </row>
    <row r="186" spans="1:233" ht="15" x14ac:dyDescent="0.25">
      <c r="A186" s="121" t="s">
        <v>255</v>
      </c>
      <c r="B186" s="124" t="s">
        <v>188</v>
      </c>
      <c r="C186" s="185">
        <v>3241</v>
      </c>
      <c r="D186" s="185">
        <v>1055</v>
      </c>
      <c r="E186" s="185">
        <v>1000</v>
      </c>
      <c r="F186" s="240">
        <v>20000</v>
      </c>
      <c r="G186" s="173">
        <v>10000</v>
      </c>
      <c r="H186" s="173">
        <v>5000</v>
      </c>
      <c r="I186" s="173">
        <v>5000</v>
      </c>
      <c r="J186" s="173">
        <v>5000</v>
      </c>
      <c r="K186" s="173">
        <v>5000</v>
      </c>
      <c r="L186" s="173">
        <v>5000</v>
      </c>
    </row>
    <row r="187" spans="1:233" ht="15" x14ac:dyDescent="0.25">
      <c r="A187" s="121"/>
      <c r="B187" s="124"/>
      <c r="C187" s="187">
        <v>3241</v>
      </c>
      <c r="D187" s="185"/>
      <c r="E187" s="187">
        <f t="shared" ref="E187:L187" si="91">SUM(E186)</f>
        <v>1000</v>
      </c>
      <c r="F187" s="254">
        <f t="shared" si="91"/>
        <v>20000</v>
      </c>
      <c r="G187" s="187">
        <f t="shared" si="91"/>
        <v>10000</v>
      </c>
      <c r="H187" s="187">
        <f t="shared" si="91"/>
        <v>5000</v>
      </c>
      <c r="I187" s="187">
        <f t="shared" si="91"/>
        <v>5000</v>
      </c>
      <c r="J187" s="187">
        <f t="shared" si="91"/>
        <v>5000</v>
      </c>
      <c r="K187" s="187">
        <f t="shared" si="91"/>
        <v>5000</v>
      </c>
      <c r="L187" s="187">
        <f t="shared" si="91"/>
        <v>5000</v>
      </c>
    </row>
    <row r="188" spans="1:233" ht="15" x14ac:dyDescent="0.25">
      <c r="A188" s="121"/>
      <c r="B188" s="124"/>
      <c r="C188" s="185"/>
      <c r="D188" s="185"/>
      <c r="E188" s="185"/>
      <c r="F188" s="240"/>
      <c r="G188" s="173"/>
      <c r="H188" s="173"/>
      <c r="I188" s="173"/>
      <c r="J188" s="173"/>
      <c r="K188" s="173"/>
      <c r="L188" s="173"/>
    </row>
    <row r="189" spans="1:233" ht="15" x14ac:dyDescent="0.25">
      <c r="A189" s="119" t="s">
        <v>395</v>
      </c>
      <c r="B189" s="115" t="s">
        <v>435</v>
      </c>
      <c r="C189" s="172">
        <v>0</v>
      </c>
      <c r="D189" s="172">
        <v>0</v>
      </c>
      <c r="E189" s="185">
        <v>0</v>
      </c>
      <c r="F189" s="240">
        <v>0</v>
      </c>
      <c r="G189" s="173">
        <v>0</v>
      </c>
      <c r="H189" s="173">
        <v>0</v>
      </c>
      <c r="I189" s="173">
        <v>0</v>
      </c>
      <c r="J189" s="173">
        <v>0</v>
      </c>
      <c r="K189" s="173">
        <v>0</v>
      </c>
      <c r="L189" s="173">
        <v>0</v>
      </c>
    </row>
    <row r="190" spans="1:233" ht="15" x14ac:dyDescent="0.25">
      <c r="A190" s="119"/>
      <c r="B190" s="115"/>
      <c r="C190" s="190">
        <v>0</v>
      </c>
      <c r="D190" s="172"/>
      <c r="E190" s="185">
        <f t="shared" ref="E190:L190" si="92">SUM(E189)</f>
        <v>0</v>
      </c>
      <c r="F190" s="240">
        <f t="shared" si="92"/>
        <v>0</v>
      </c>
      <c r="G190" s="173">
        <f t="shared" si="92"/>
        <v>0</v>
      </c>
      <c r="H190" s="173">
        <f t="shared" si="92"/>
        <v>0</v>
      </c>
      <c r="I190" s="173">
        <f t="shared" si="92"/>
        <v>0</v>
      </c>
      <c r="J190" s="173">
        <f t="shared" si="92"/>
        <v>0</v>
      </c>
      <c r="K190" s="173">
        <f t="shared" si="92"/>
        <v>0</v>
      </c>
      <c r="L190" s="173">
        <f t="shared" si="92"/>
        <v>0</v>
      </c>
    </row>
    <row r="191" spans="1:233" ht="15" x14ac:dyDescent="0.25">
      <c r="A191" s="119"/>
      <c r="B191" s="115"/>
      <c r="C191" s="172"/>
      <c r="D191" s="172"/>
      <c r="E191" s="185"/>
      <c r="F191" s="240"/>
      <c r="G191" s="173"/>
      <c r="H191" s="173"/>
      <c r="I191" s="173"/>
      <c r="J191" s="173"/>
      <c r="K191" s="173"/>
      <c r="L191" s="173"/>
    </row>
    <row r="192" spans="1:233" ht="15" x14ac:dyDescent="0.25">
      <c r="A192" s="119" t="s">
        <v>256</v>
      </c>
      <c r="B192" s="115" t="s">
        <v>469</v>
      </c>
      <c r="C192" s="172">
        <v>6343</v>
      </c>
      <c r="D192" s="172">
        <v>4874</v>
      </c>
      <c r="E192" s="185">
        <v>4900</v>
      </c>
      <c r="F192" s="240">
        <v>4900</v>
      </c>
      <c r="G192" s="173">
        <f>SUM(F192*1.05)</f>
        <v>5145</v>
      </c>
      <c r="H192" s="173">
        <f t="shared" ref="H192:L192" si="93">SUM(G192*1.05)</f>
        <v>5402.25</v>
      </c>
      <c r="I192" s="173">
        <f t="shared" si="93"/>
        <v>5672.3625000000002</v>
      </c>
      <c r="J192" s="173">
        <f t="shared" si="93"/>
        <v>5955.9806250000001</v>
      </c>
      <c r="K192" s="173">
        <f t="shared" si="93"/>
        <v>6253.7796562500007</v>
      </c>
      <c r="L192" s="173">
        <f t="shared" si="93"/>
        <v>6566.4686390625011</v>
      </c>
    </row>
    <row r="193" spans="1:12" ht="15" x14ac:dyDescent="0.25">
      <c r="A193" s="119"/>
      <c r="B193" s="115"/>
      <c r="C193" s="190">
        <f>SUM(C192)</f>
        <v>6343</v>
      </c>
      <c r="D193" s="172"/>
      <c r="E193" s="187">
        <f t="shared" ref="E193:L193" si="94">SUM(E192)</f>
        <v>4900</v>
      </c>
      <c r="F193" s="254">
        <f t="shared" si="94"/>
        <v>4900</v>
      </c>
      <c r="G193" s="266">
        <f t="shared" si="94"/>
        <v>5145</v>
      </c>
      <c r="H193" s="266">
        <f t="shared" si="94"/>
        <v>5402.25</v>
      </c>
      <c r="I193" s="266">
        <f t="shared" si="94"/>
        <v>5672.3625000000002</v>
      </c>
      <c r="J193" s="266">
        <f t="shared" si="94"/>
        <v>5955.9806250000001</v>
      </c>
      <c r="K193" s="266">
        <f t="shared" si="94"/>
        <v>6253.7796562500007</v>
      </c>
      <c r="L193" s="266">
        <f t="shared" si="94"/>
        <v>6566.4686390625011</v>
      </c>
    </row>
    <row r="194" spans="1:12" ht="15" x14ac:dyDescent="0.25">
      <c r="A194" s="119"/>
      <c r="B194" s="115"/>
      <c r="C194" s="172"/>
      <c r="D194" s="172"/>
      <c r="E194" s="185"/>
      <c r="F194" s="240"/>
      <c r="G194" s="173"/>
      <c r="H194" s="173"/>
      <c r="I194" s="173"/>
      <c r="J194" s="173"/>
      <c r="K194" s="173"/>
      <c r="L194" s="173"/>
    </row>
    <row r="195" spans="1:12" ht="15" x14ac:dyDescent="0.25">
      <c r="A195" s="116" t="s">
        <v>257</v>
      </c>
      <c r="B195" s="115" t="s">
        <v>48</v>
      </c>
      <c r="C195" s="172">
        <v>11335</v>
      </c>
      <c r="D195" s="172">
        <v>7080</v>
      </c>
      <c r="E195" s="133">
        <v>12000</v>
      </c>
      <c r="F195" s="276">
        <v>12000</v>
      </c>
      <c r="G195" s="173">
        <f>SUM(F195*1.02)</f>
        <v>12240</v>
      </c>
      <c r="H195" s="173">
        <f t="shared" ref="H195:L195" si="95">SUM(G195*1.02)</f>
        <v>12484.800000000001</v>
      </c>
      <c r="I195" s="173">
        <f t="shared" si="95"/>
        <v>12734.496000000001</v>
      </c>
      <c r="J195" s="173">
        <f t="shared" si="95"/>
        <v>12989.185920000002</v>
      </c>
      <c r="K195" s="173">
        <f t="shared" si="95"/>
        <v>13248.969638400002</v>
      </c>
      <c r="L195" s="173">
        <f t="shared" si="95"/>
        <v>13513.949031168002</v>
      </c>
    </row>
    <row r="196" spans="1:12" ht="15" x14ac:dyDescent="0.25">
      <c r="A196" s="116" t="s">
        <v>258</v>
      </c>
      <c r="B196" s="115" t="s">
        <v>189</v>
      </c>
      <c r="C196" s="172">
        <v>6444</v>
      </c>
      <c r="D196" s="172">
        <v>4660</v>
      </c>
      <c r="E196" s="133">
        <v>7000</v>
      </c>
      <c r="F196" s="276">
        <v>7000</v>
      </c>
      <c r="G196" s="173">
        <f>SUM(F196*1.02)</f>
        <v>7140</v>
      </c>
      <c r="H196" s="173">
        <f t="shared" ref="H196:L196" si="96">SUM(G196*1.02)</f>
        <v>7282.8</v>
      </c>
      <c r="I196" s="173">
        <f t="shared" si="96"/>
        <v>7428.4560000000001</v>
      </c>
      <c r="J196" s="173">
        <f t="shared" si="96"/>
        <v>7577.0251200000002</v>
      </c>
      <c r="K196" s="173">
        <f t="shared" si="96"/>
        <v>7728.5656224000004</v>
      </c>
      <c r="L196" s="173">
        <f t="shared" si="96"/>
        <v>7883.1369348480002</v>
      </c>
    </row>
    <row r="197" spans="1:12" ht="15" x14ac:dyDescent="0.25">
      <c r="A197" s="116" t="s">
        <v>259</v>
      </c>
      <c r="B197" s="115" t="s">
        <v>50</v>
      </c>
      <c r="C197" s="172">
        <v>2296</v>
      </c>
      <c r="D197" s="172">
        <v>1690</v>
      </c>
      <c r="E197" s="133">
        <v>2800</v>
      </c>
      <c r="F197" s="276">
        <v>2800</v>
      </c>
      <c r="G197" s="173">
        <f>SUM(F197*1.02)</f>
        <v>2856</v>
      </c>
      <c r="H197" s="173">
        <f t="shared" ref="H197:L197" si="97">SUM(G197*1.02)</f>
        <v>2913.12</v>
      </c>
      <c r="I197" s="173">
        <f t="shared" si="97"/>
        <v>2971.3824</v>
      </c>
      <c r="J197" s="173">
        <f t="shared" si="97"/>
        <v>3030.8100479999998</v>
      </c>
      <c r="K197" s="173">
        <f t="shared" si="97"/>
        <v>3091.4262489600001</v>
      </c>
      <c r="L197" s="173">
        <f t="shared" si="97"/>
        <v>3153.2547739392003</v>
      </c>
    </row>
    <row r="198" spans="1:12" ht="15" x14ac:dyDescent="0.25">
      <c r="A198" s="116"/>
      <c r="B198" s="115"/>
      <c r="C198" s="190">
        <f>SUM(C195:C197)</f>
        <v>20075</v>
      </c>
      <c r="D198" s="169"/>
      <c r="E198" s="187">
        <f t="shared" ref="E198:L198" si="98">SUM(E195:E197)</f>
        <v>21800</v>
      </c>
      <c r="F198" s="254">
        <f t="shared" si="98"/>
        <v>21800</v>
      </c>
      <c r="G198" s="187">
        <f t="shared" si="98"/>
        <v>22236</v>
      </c>
      <c r="H198" s="187">
        <f t="shared" si="98"/>
        <v>22680.720000000001</v>
      </c>
      <c r="I198" s="187">
        <f t="shared" si="98"/>
        <v>23134.3344</v>
      </c>
      <c r="J198" s="187">
        <f t="shared" si="98"/>
        <v>23597.021088000001</v>
      </c>
      <c r="K198" s="187">
        <f t="shared" si="98"/>
        <v>24068.961509760004</v>
      </c>
      <c r="L198" s="187">
        <f t="shared" si="98"/>
        <v>24550.340739955202</v>
      </c>
    </row>
    <row r="199" spans="1:12" ht="15" x14ac:dyDescent="0.25">
      <c r="A199" s="116"/>
      <c r="B199" s="115"/>
      <c r="C199" s="172"/>
      <c r="D199" s="169"/>
      <c r="E199" s="185"/>
      <c r="F199" s="240"/>
      <c r="G199" s="173"/>
      <c r="H199" s="173"/>
      <c r="I199" s="173"/>
      <c r="J199" s="173"/>
      <c r="K199" s="173"/>
      <c r="L199" s="173"/>
    </row>
    <row r="200" spans="1:12" ht="15" x14ac:dyDescent="0.25">
      <c r="A200" s="116" t="s">
        <v>260</v>
      </c>
      <c r="B200" s="117" t="s">
        <v>198</v>
      </c>
      <c r="C200" s="172">
        <v>9033</v>
      </c>
      <c r="D200" s="169">
        <v>11850</v>
      </c>
      <c r="E200" s="185">
        <v>10000</v>
      </c>
      <c r="F200" s="240">
        <v>10000</v>
      </c>
      <c r="G200" s="173">
        <f>SUM(F200*1.03)</f>
        <v>10300</v>
      </c>
      <c r="H200" s="173">
        <f t="shared" ref="H200:L200" si="99">SUM(G200*1.03)</f>
        <v>10609</v>
      </c>
      <c r="I200" s="173">
        <f t="shared" si="99"/>
        <v>10927.27</v>
      </c>
      <c r="J200" s="173">
        <f t="shared" si="99"/>
        <v>11255.088100000001</v>
      </c>
      <c r="K200" s="173">
        <f t="shared" si="99"/>
        <v>11592.740743</v>
      </c>
      <c r="L200" s="173">
        <f t="shared" si="99"/>
        <v>11940.52296529</v>
      </c>
    </row>
    <row r="201" spans="1:12" ht="15" x14ac:dyDescent="0.25">
      <c r="A201" s="116"/>
      <c r="B201" s="117"/>
      <c r="C201" s="190">
        <f>SUM(C200)</f>
        <v>9033</v>
      </c>
      <c r="D201" s="169"/>
      <c r="E201" s="187">
        <f t="shared" ref="E201:L201" si="100">SUM(E200)</f>
        <v>10000</v>
      </c>
      <c r="F201" s="254">
        <f t="shared" si="100"/>
        <v>10000</v>
      </c>
      <c r="G201" s="187">
        <f t="shared" si="100"/>
        <v>10300</v>
      </c>
      <c r="H201" s="187">
        <f t="shared" si="100"/>
        <v>10609</v>
      </c>
      <c r="I201" s="187">
        <f t="shared" si="100"/>
        <v>10927.27</v>
      </c>
      <c r="J201" s="187">
        <f t="shared" si="100"/>
        <v>11255.088100000001</v>
      </c>
      <c r="K201" s="187">
        <f t="shared" si="100"/>
        <v>11592.740743</v>
      </c>
      <c r="L201" s="187">
        <f t="shared" si="100"/>
        <v>11940.52296529</v>
      </c>
    </row>
    <row r="202" spans="1:12" ht="15" x14ac:dyDescent="0.25">
      <c r="A202" s="116"/>
      <c r="B202" s="117"/>
      <c r="C202" s="172"/>
      <c r="D202" s="169"/>
      <c r="E202" s="185"/>
      <c r="F202" s="240"/>
      <c r="G202" s="173"/>
      <c r="H202" s="173"/>
      <c r="I202" s="173"/>
      <c r="J202" s="173"/>
      <c r="K202" s="173"/>
      <c r="L202" s="173"/>
    </row>
    <row r="203" spans="1:12" ht="15" x14ac:dyDescent="0.25">
      <c r="A203" s="116" t="s">
        <v>261</v>
      </c>
      <c r="B203" s="117" t="s">
        <v>183</v>
      </c>
      <c r="C203" s="172">
        <v>36938</v>
      </c>
      <c r="D203" s="169">
        <v>12885</v>
      </c>
      <c r="E203" s="185">
        <v>22000</v>
      </c>
      <c r="F203" s="240">
        <v>22000</v>
      </c>
      <c r="G203" s="173">
        <v>25000</v>
      </c>
      <c r="H203" s="173">
        <v>30000</v>
      </c>
      <c r="I203" s="173">
        <v>25000</v>
      </c>
      <c r="J203" s="173">
        <v>25000</v>
      </c>
      <c r="K203" s="173">
        <v>25000</v>
      </c>
      <c r="L203" s="173">
        <v>25000</v>
      </c>
    </row>
    <row r="204" spans="1:12" ht="15" x14ac:dyDescent="0.25">
      <c r="A204" s="116"/>
      <c r="B204" s="117"/>
      <c r="C204" s="190">
        <f>SUM(C203)</f>
        <v>36938</v>
      </c>
      <c r="D204" s="169"/>
      <c r="E204" s="187">
        <f t="shared" ref="E204:L204" si="101">SUM(E203)</f>
        <v>22000</v>
      </c>
      <c r="F204" s="254">
        <f t="shared" si="101"/>
        <v>22000</v>
      </c>
      <c r="G204" s="187">
        <f t="shared" si="101"/>
        <v>25000</v>
      </c>
      <c r="H204" s="187">
        <f t="shared" si="101"/>
        <v>30000</v>
      </c>
      <c r="I204" s="187">
        <f t="shared" si="101"/>
        <v>25000</v>
      </c>
      <c r="J204" s="187">
        <f t="shared" si="101"/>
        <v>25000</v>
      </c>
      <c r="K204" s="187">
        <f t="shared" si="101"/>
        <v>25000</v>
      </c>
      <c r="L204" s="187">
        <f t="shared" si="101"/>
        <v>25000</v>
      </c>
    </row>
    <row r="205" spans="1:12" ht="15" x14ac:dyDescent="0.25">
      <c r="A205" s="116"/>
      <c r="B205" s="117"/>
      <c r="C205" s="172"/>
      <c r="D205" s="169"/>
      <c r="E205" s="185"/>
      <c r="F205" s="240"/>
      <c r="G205" s="173"/>
      <c r="H205" s="173"/>
      <c r="I205" s="173"/>
      <c r="J205" s="173"/>
      <c r="K205" s="173"/>
      <c r="L205" s="173"/>
    </row>
    <row r="206" spans="1:12" ht="15" x14ac:dyDescent="0.25">
      <c r="A206" s="95" t="s">
        <v>329</v>
      </c>
      <c r="B206" s="131" t="s">
        <v>162</v>
      </c>
      <c r="C206" s="185">
        <v>0</v>
      </c>
      <c r="D206" s="188">
        <v>0</v>
      </c>
      <c r="E206" s="185">
        <v>0</v>
      </c>
      <c r="F206" s="240">
        <v>0</v>
      </c>
      <c r="G206" s="185">
        <v>0</v>
      </c>
      <c r="H206" s="185">
        <v>0</v>
      </c>
      <c r="I206" s="185">
        <v>0</v>
      </c>
      <c r="J206" s="185">
        <v>0</v>
      </c>
      <c r="K206" s="185">
        <v>0</v>
      </c>
      <c r="L206" s="185">
        <v>0</v>
      </c>
    </row>
    <row r="207" spans="1:12" ht="15" x14ac:dyDescent="0.25">
      <c r="A207" s="95"/>
      <c r="B207" s="131"/>
      <c r="C207" s="187">
        <v>0</v>
      </c>
      <c r="D207" s="188"/>
      <c r="E207" s="185">
        <f t="shared" ref="E207:L207" si="102">SUM(E206)</f>
        <v>0</v>
      </c>
      <c r="F207" s="240">
        <f t="shared" si="102"/>
        <v>0</v>
      </c>
      <c r="G207" s="185">
        <f t="shared" si="102"/>
        <v>0</v>
      </c>
      <c r="H207" s="185">
        <f t="shared" si="102"/>
        <v>0</v>
      </c>
      <c r="I207" s="185">
        <f t="shared" si="102"/>
        <v>0</v>
      </c>
      <c r="J207" s="185">
        <f t="shared" si="102"/>
        <v>0</v>
      </c>
      <c r="K207" s="185">
        <f t="shared" si="102"/>
        <v>0</v>
      </c>
      <c r="L207" s="185">
        <f t="shared" si="102"/>
        <v>0</v>
      </c>
    </row>
    <row r="208" spans="1:12" ht="15" x14ac:dyDescent="0.25">
      <c r="A208" s="95"/>
      <c r="B208" s="131"/>
      <c r="C208" s="185"/>
      <c r="D208" s="188"/>
      <c r="E208" s="185"/>
      <c r="F208" s="240"/>
      <c r="G208" s="173"/>
      <c r="H208" s="173"/>
      <c r="I208" s="173"/>
      <c r="J208" s="173"/>
      <c r="K208" s="173"/>
      <c r="L208" s="173"/>
    </row>
    <row r="209" spans="1:12" ht="15" x14ac:dyDescent="0.25">
      <c r="A209" s="119" t="s">
        <v>262</v>
      </c>
      <c r="B209" s="115" t="s">
        <v>462</v>
      </c>
      <c r="C209" s="172">
        <v>2870</v>
      </c>
      <c r="D209" s="169">
        <v>0</v>
      </c>
      <c r="E209" s="185">
        <v>4000</v>
      </c>
      <c r="F209" s="240">
        <v>12000</v>
      </c>
      <c r="G209" s="173">
        <v>7000</v>
      </c>
      <c r="H209" s="173">
        <v>6000</v>
      </c>
      <c r="I209" s="173">
        <v>8500</v>
      </c>
      <c r="J209" s="173">
        <v>7000</v>
      </c>
      <c r="K209" s="173">
        <v>7000</v>
      </c>
      <c r="L209" s="173">
        <v>7000</v>
      </c>
    </row>
    <row r="210" spans="1:12" ht="15" x14ac:dyDescent="0.25">
      <c r="A210" s="119" t="s">
        <v>396</v>
      </c>
      <c r="B210" s="115" t="s">
        <v>397</v>
      </c>
      <c r="C210" s="172">
        <v>0</v>
      </c>
      <c r="D210" s="169">
        <v>0</v>
      </c>
      <c r="E210" s="185">
        <v>2000</v>
      </c>
      <c r="F210" s="240">
        <v>500</v>
      </c>
      <c r="G210" s="173">
        <v>0</v>
      </c>
      <c r="H210" s="173">
        <v>0</v>
      </c>
      <c r="I210" s="173">
        <v>0</v>
      </c>
      <c r="J210" s="173">
        <v>0</v>
      </c>
      <c r="K210" s="173">
        <v>0</v>
      </c>
      <c r="L210" s="173">
        <v>0</v>
      </c>
    </row>
    <row r="211" spans="1:12" ht="14.1" customHeight="1" x14ac:dyDescent="0.25">
      <c r="A211" s="95" t="s">
        <v>263</v>
      </c>
      <c r="B211" s="114" t="s">
        <v>200</v>
      </c>
      <c r="C211" s="185">
        <v>2333</v>
      </c>
      <c r="D211" s="185">
        <v>0</v>
      </c>
      <c r="E211" s="185">
        <v>5000</v>
      </c>
      <c r="F211" s="240">
        <v>2500</v>
      </c>
      <c r="G211" s="173">
        <v>0</v>
      </c>
      <c r="H211" s="173">
        <v>0</v>
      </c>
      <c r="I211" s="173">
        <v>0</v>
      </c>
      <c r="J211" s="173">
        <v>0</v>
      </c>
      <c r="K211" s="173">
        <v>0</v>
      </c>
      <c r="L211" s="173">
        <v>0</v>
      </c>
    </row>
    <row r="212" spans="1:12" ht="14.1" customHeight="1" x14ac:dyDescent="0.25">
      <c r="A212" s="95" t="s">
        <v>264</v>
      </c>
      <c r="B212" s="131" t="s">
        <v>201</v>
      </c>
      <c r="C212" s="185">
        <v>4310</v>
      </c>
      <c r="D212" s="188">
        <v>0</v>
      </c>
      <c r="E212" s="185">
        <v>6000</v>
      </c>
      <c r="F212" s="240">
        <v>6000</v>
      </c>
      <c r="G212" s="173">
        <v>5000</v>
      </c>
      <c r="H212" s="173">
        <v>5000</v>
      </c>
      <c r="I212" s="173">
        <v>5000</v>
      </c>
      <c r="J212" s="173">
        <v>5000</v>
      </c>
      <c r="K212" s="173">
        <v>5000</v>
      </c>
      <c r="L212" s="173">
        <v>5000</v>
      </c>
    </row>
    <row r="213" spans="1:12" ht="14.1" customHeight="1" x14ac:dyDescent="0.25">
      <c r="A213" s="95"/>
      <c r="B213" s="131"/>
      <c r="C213" s="187">
        <f>SUM(C209:C212)</f>
        <v>9513</v>
      </c>
      <c r="D213" s="188"/>
      <c r="E213" s="187">
        <f t="shared" ref="E213:L213" si="103">SUM(E209:E212)</f>
        <v>17000</v>
      </c>
      <c r="F213" s="254">
        <f t="shared" si="103"/>
        <v>21000</v>
      </c>
      <c r="G213" s="187">
        <f t="shared" si="103"/>
        <v>12000</v>
      </c>
      <c r="H213" s="187">
        <f t="shared" si="103"/>
        <v>11000</v>
      </c>
      <c r="I213" s="187">
        <f t="shared" si="103"/>
        <v>13500</v>
      </c>
      <c r="J213" s="187">
        <f t="shared" si="103"/>
        <v>12000</v>
      </c>
      <c r="K213" s="187">
        <f t="shared" si="103"/>
        <v>12000</v>
      </c>
      <c r="L213" s="187">
        <f t="shared" si="103"/>
        <v>12000</v>
      </c>
    </row>
    <row r="214" spans="1:12" ht="14.1" customHeight="1" x14ac:dyDescent="0.25">
      <c r="A214" s="95"/>
      <c r="B214" s="131"/>
      <c r="C214" s="185"/>
      <c r="D214" s="188"/>
      <c r="E214" s="185"/>
      <c r="F214" s="240"/>
      <c r="G214" s="173"/>
      <c r="H214" s="173"/>
      <c r="I214" s="173"/>
      <c r="J214" s="173"/>
      <c r="K214" s="173"/>
      <c r="L214" s="187"/>
    </row>
    <row r="215" spans="1:12" ht="14.1" customHeight="1" x14ac:dyDescent="0.25">
      <c r="A215" s="95" t="s">
        <v>398</v>
      </c>
      <c r="B215" s="131" t="s">
        <v>399</v>
      </c>
      <c r="C215" s="185">
        <v>0</v>
      </c>
      <c r="D215" s="188"/>
      <c r="E215" s="185">
        <v>0</v>
      </c>
      <c r="F215" s="240">
        <v>0</v>
      </c>
      <c r="G215" s="185">
        <v>0</v>
      </c>
      <c r="H215" s="185">
        <v>0</v>
      </c>
      <c r="I215" s="185">
        <v>0</v>
      </c>
      <c r="J215" s="185">
        <v>0</v>
      </c>
      <c r="K215" s="185">
        <v>0</v>
      </c>
      <c r="L215" s="185">
        <v>0</v>
      </c>
    </row>
    <row r="216" spans="1:12" ht="14.1" customHeight="1" x14ac:dyDescent="0.25">
      <c r="A216" s="95"/>
      <c r="B216" s="131"/>
      <c r="C216" s="187">
        <v>0</v>
      </c>
      <c r="D216" s="188"/>
      <c r="E216" s="185">
        <f>SUM(E215)</f>
        <v>0</v>
      </c>
      <c r="F216" s="240">
        <v>0</v>
      </c>
      <c r="G216" s="185">
        <f t="shared" ref="G216:L216" si="104">SUM(G215)</f>
        <v>0</v>
      </c>
      <c r="H216" s="185">
        <f t="shared" si="104"/>
        <v>0</v>
      </c>
      <c r="I216" s="185">
        <f t="shared" si="104"/>
        <v>0</v>
      </c>
      <c r="J216" s="185">
        <f t="shared" si="104"/>
        <v>0</v>
      </c>
      <c r="K216" s="185">
        <f t="shared" si="104"/>
        <v>0</v>
      </c>
      <c r="L216" s="185">
        <f t="shared" si="104"/>
        <v>0</v>
      </c>
    </row>
    <row r="217" spans="1:12" ht="14.1" customHeight="1" x14ac:dyDescent="0.25">
      <c r="A217" s="95"/>
      <c r="B217" s="131"/>
      <c r="C217" s="185"/>
      <c r="D217" s="188"/>
      <c r="E217" s="185"/>
      <c r="F217" s="240"/>
      <c r="G217" s="173"/>
      <c r="H217" s="173"/>
      <c r="I217" s="173"/>
      <c r="J217" s="173"/>
      <c r="K217" s="173"/>
      <c r="L217" s="173"/>
    </row>
    <row r="218" spans="1:12" ht="14.1" customHeight="1" x14ac:dyDescent="0.25">
      <c r="A218" s="125" t="s">
        <v>265</v>
      </c>
      <c r="B218" s="115" t="s">
        <v>185</v>
      </c>
      <c r="C218" s="172">
        <v>0</v>
      </c>
      <c r="D218" s="169">
        <v>275</v>
      </c>
      <c r="E218" s="185">
        <v>4000</v>
      </c>
      <c r="F218" s="240">
        <v>4000</v>
      </c>
      <c r="G218" s="173">
        <v>4000</v>
      </c>
      <c r="H218" s="173">
        <v>4000</v>
      </c>
      <c r="I218" s="173">
        <v>4000</v>
      </c>
      <c r="J218" s="173">
        <v>4000</v>
      </c>
      <c r="K218" s="173">
        <v>4000</v>
      </c>
      <c r="L218" s="173">
        <v>4000</v>
      </c>
    </row>
    <row r="219" spans="1:12" ht="14.1" customHeight="1" x14ac:dyDescent="0.25">
      <c r="A219" s="125" t="s">
        <v>400</v>
      </c>
      <c r="B219" s="131" t="s">
        <v>401</v>
      </c>
      <c r="C219" s="185">
        <v>0</v>
      </c>
      <c r="D219" s="188">
        <v>0</v>
      </c>
      <c r="E219" s="185">
        <v>0</v>
      </c>
      <c r="F219" s="240">
        <v>0</v>
      </c>
      <c r="G219" s="173">
        <v>0</v>
      </c>
      <c r="H219" s="173">
        <v>0</v>
      </c>
      <c r="I219" s="173">
        <v>0</v>
      </c>
      <c r="J219" s="173">
        <v>0</v>
      </c>
      <c r="K219" s="173">
        <v>0</v>
      </c>
      <c r="L219" s="173">
        <v>0</v>
      </c>
    </row>
    <row r="220" spans="1:12" ht="14.1" customHeight="1" x14ac:dyDescent="0.25">
      <c r="A220" s="125"/>
      <c r="B220" s="131"/>
      <c r="C220" s="187">
        <v>0</v>
      </c>
      <c r="D220" s="188"/>
      <c r="E220" s="187">
        <f t="shared" ref="E220:L220" si="105">SUM(E218:E219)</f>
        <v>4000</v>
      </c>
      <c r="F220" s="254">
        <f t="shared" si="105"/>
        <v>4000</v>
      </c>
      <c r="G220" s="187">
        <f t="shared" si="105"/>
        <v>4000</v>
      </c>
      <c r="H220" s="187">
        <f t="shared" si="105"/>
        <v>4000</v>
      </c>
      <c r="I220" s="187">
        <f t="shared" si="105"/>
        <v>4000</v>
      </c>
      <c r="J220" s="187">
        <f t="shared" si="105"/>
        <v>4000</v>
      </c>
      <c r="K220" s="187">
        <f t="shared" si="105"/>
        <v>4000</v>
      </c>
      <c r="L220" s="187">
        <f t="shared" si="105"/>
        <v>4000</v>
      </c>
    </row>
    <row r="221" spans="1:12" ht="14.1" customHeight="1" x14ac:dyDescent="0.25">
      <c r="A221" s="125"/>
      <c r="B221" s="131"/>
      <c r="C221" s="185"/>
      <c r="D221" s="188"/>
      <c r="E221" s="185"/>
      <c r="F221" s="240"/>
      <c r="G221" s="173"/>
      <c r="H221" s="173"/>
      <c r="I221" s="187"/>
      <c r="J221" s="173"/>
      <c r="K221" s="173"/>
      <c r="L221" s="173"/>
    </row>
    <row r="222" spans="1:12" ht="14.1" customHeight="1" x14ac:dyDescent="0.25">
      <c r="A222" s="95" t="s">
        <v>402</v>
      </c>
      <c r="B222" s="131" t="s">
        <v>403</v>
      </c>
      <c r="C222" s="185">
        <v>0</v>
      </c>
      <c r="D222" s="188"/>
      <c r="E222" s="185">
        <v>0</v>
      </c>
      <c r="F222" s="240">
        <v>0</v>
      </c>
      <c r="G222" s="173">
        <v>0</v>
      </c>
      <c r="H222" s="173">
        <v>0</v>
      </c>
      <c r="I222" s="173">
        <v>0</v>
      </c>
      <c r="J222" s="173">
        <v>0</v>
      </c>
      <c r="K222" s="173">
        <v>0</v>
      </c>
      <c r="L222" s="173">
        <v>0</v>
      </c>
    </row>
    <row r="223" spans="1:12" ht="14.1" customHeight="1" x14ac:dyDescent="0.25">
      <c r="A223" s="95"/>
      <c r="B223" s="131"/>
      <c r="C223" s="187">
        <v>0</v>
      </c>
      <c r="D223" s="188"/>
      <c r="E223" s="185">
        <f t="shared" ref="E223:L223" si="106">SUM(E222)</f>
        <v>0</v>
      </c>
      <c r="F223" s="240">
        <f t="shared" si="106"/>
        <v>0</v>
      </c>
      <c r="G223" s="185">
        <f t="shared" si="106"/>
        <v>0</v>
      </c>
      <c r="H223" s="185">
        <f t="shared" si="106"/>
        <v>0</v>
      </c>
      <c r="I223" s="185">
        <f t="shared" si="106"/>
        <v>0</v>
      </c>
      <c r="J223" s="185">
        <f t="shared" si="106"/>
        <v>0</v>
      </c>
      <c r="K223" s="185">
        <f t="shared" si="106"/>
        <v>0</v>
      </c>
      <c r="L223" s="185">
        <f t="shared" si="106"/>
        <v>0</v>
      </c>
    </row>
    <row r="224" spans="1:12" ht="14.1" customHeight="1" x14ac:dyDescent="0.25">
      <c r="A224" s="95"/>
      <c r="B224" s="131"/>
      <c r="C224" s="185"/>
      <c r="D224" s="188"/>
      <c r="E224" s="185"/>
      <c r="F224" s="240"/>
      <c r="G224" s="173"/>
      <c r="H224" s="173"/>
      <c r="I224" s="173"/>
      <c r="J224" s="173"/>
      <c r="K224" s="173"/>
      <c r="L224" s="173"/>
    </row>
    <row r="225" spans="1:12" ht="14.1" customHeight="1" x14ac:dyDescent="0.25">
      <c r="A225" s="95" t="s">
        <v>406</v>
      </c>
      <c r="B225" s="131" t="s">
        <v>408</v>
      </c>
      <c r="C225" s="185">
        <v>94947</v>
      </c>
      <c r="D225" s="188">
        <v>621209.88</v>
      </c>
      <c r="E225" s="185">
        <v>621209.88</v>
      </c>
      <c r="F225" s="240">
        <v>0</v>
      </c>
      <c r="G225" s="173">
        <v>0</v>
      </c>
      <c r="H225" s="173">
        <v>0</v>
      </c>
      <c r="I225" s="173">
        <v>0</v>
      </c>
      <c r="J225" s="173">
        <v>0</v>
      </c>
      <c r="K225" s="173">
        <v>0</v>
      </c>
      <c r="L225" s="173">
        <v>0</v>
      </c>
    </row>
    <row r="226" spans="1:12" ht="14.1" customHeight="1" x14ac:dyDescent="0.25">
      <c r="A226" s="95"/>
      <c r="B226" s="131"/>
      <c r="C226" s="187">
        <f>SUM(C225)</f>
        <v>94947</v>
      </c>
      <c r="D226" s="188"/>
      <c r="E226" s="187">
        <f>SUM(E225)</f>
        <v>621209.88</v>
      </c>
      <c r="F226" s="240">
        <v>0</v>
      </c>
      <c r="G226" s="187">
        <f t="shared" ref="G226:L226" si="107">SUM(G225)</f>
        <v>0</v>
      </c>
      <c r="H226" s="187">
        <f t="shared" si="107"/>
        <v>0</v>
      </c>
      <c r="I226" s="187">
        <f t="shared" si="107"/>
        <v>0</v>
      </c>
      <c r="J226" s="187">
        <f t="shared" si="107"/>
        <v>0</v>
      </c>
      <c r="K226" s="187">
        <f t="shared" si="107"/>
        <v>0</v>
      </c>
      <c r="L226" s="187">
        <f t="shared" si="107"/>
        <v>0</v>
      </c>
    </row>
    <row r="227" spans="1:12" ht="14.1" customHeight="1" x14ac:dyDescent="0.25">
      <c r="A227" s="95"/>
      <c r="B227" s="131"/>
      <c r="C227" s="185"/>
      <c r="D227" s="188"/>
      <c r="E227" s="185"/>
      <c r="F227" s="240"/>
      <c r="G227" s="173"/>
      <c r="H227" s="173"/>
      <c r="I227" s="173"/>
      <c r="J227" s="173"/>
      <c r="K227" s="173"/>
      <c r="L227" s="173"/>
    </row>
    <row r="228" spans="1:12" ht="14.1" customHeight="1" x14ac:dyDescent="0.25">
      <c r="A228" s="95" t="s">
        <v>407</v>
      </c>
      <c r="B228" s="131" t="s">
        <v>416</v>
      </c>
      <c r="C228" s="185">
        <v>0</v>
      </c>
      <c r="D228" s="188"/>
      <c r="E228" s="185">
        <v>0</v>
      </c>
      <c r="F228" s="240">
        <v>0</v>
      </c>
      <c r="G228" s="173">
        <v>0</v>
      </c>
      <c r="H228" s="173">
        <v>0</v>
      </c>
      <c r="I228" s="173">
        <v>0</v>
      </c>
      <c r="J228" s="173">
        <v>0</v>
      </c>
      <c r="K228" s="173">
        <v>0</v>
      </c>
      <c r="L228" s="173">
        <v>0</v>
      </c>
    </row>
    <row r="229" spans="1:12" ht="14.1" customHeight="1" x14ac:dyDescent="0.25">
      <c r="A229" s="95"/>
      <c r="B229" s="131"/>
      <c r="C229" s="187">
        <v>0</v>
      </c>
      <c r="D229" s="188"/>
      <c r="E229" s="185">
        <f>SUM(E228)</f>
        <v>0</v>
      </c>
      <c r="F229" s="240">
        <v>0</v>
      </c>
      <c r="G229" s="185">
        <f t="shared" ref="G229:L229" si="108">SUM(G228)</f>
        <v>0</v>
      </c>
      <c r="H229" s="185">
        <f t="shared" si="108"/>
        <v>0</v>
      </c>
      <c r="I229" s="185">
        <f t="shared" si="108"/>
        <v>0</v>
      </c>
      <c r="J229" s="185">
        <f t="shared" si="108"/>
        <v>0</v>
      </c>
      <c r="K229" s="185">
        <f t="shared" si="108"/>
        <v>0</v>
      </c>
      <c r="L229" s="185">
        <f t="shared" si="108"/>
        <v>0</v>
      </c>
    </row>
    <row r="230" spans="1:12" ht="14.1" customHeight="1" x14ac:dyDescent="0.25">
      <c r="A230" s="95"/>
      <c r="B230" s="131"/>
      <c r="C230" s="185"/>
      <c r="D230" s="188"/>
      <c r="E230" s="185"/>
      <c r="F230" s="240"/>
      <c r="G230" s="173"/>
      <c r="H230" s="173"/>
      <c r="I230" s="173"/>
      <c r="J230" s="173"/>
      <c r="K230" s="173"/>
      <c r="L230" s="173"/>
    </row>
    <row r="231" spans="1:12" ht="14.1" customHeight="1" x14ac:dyDescent="0.25">
      <c r="A231" s="95" t="s">
        <v>409</v>
      </c>
      <c r="B231" s="131" t="s">
        <v>410</v>
      </c>
      <c r="C231" s="185">
        <v>21379</v>
      </c>
      <c r="D231" s="188">
        <v>9293.2000000000007</v>
      </c>
      <c r="E231" s="185">
        <v>9293.2000000000007</v>
      </c>
      <c r="F231" s="240">
        <v>0</v>
      </c>
      <c r="G231" s="173">
        <v>0</v>
      </c>
      <c r="H231" s="173">
        <v>0</v>
      </c>
      <c r="I231" s="173">
        <v>0</v>
      </c>
      <c r="J231" s="173">
        <v>0</v>
      </c>
      <c r="K231" s="173">
        <v>0</v>
      </c>
      <c r="L231" s="173">
        <v>0</v>
      </c>
    </row>
    <row r="232" spans="1:12" ht="14.1" customHeight="1" x14ac:dyDescent="0.25">
      <c r="A232" s="95"/>
      <c r="B232" s="131"/>
      <c r="C232" s="187">
        <v>21379</v>
      </c>
      <c r="D232" s="188"/>
      <c r="E232" s="187">
        <f>SUM(E231)</f>
        <v>9293.2000000000007</v>
      </c>
      <c r="F232" s="240">
        <v>0</v>
      </c>
      <c r="G232" s="187">
        <f t="shared" ref="G232:L232" si="109">SUM(G231)</f>
        <v>0</v>
      </c>
      <c r="H232" s="187">
        <f t="shared" si="109"/>
        <v>0</v>
      </c>
      <c r="I232" s="187">
        <f t="shared" si="109"/>
        <v>0</v>
      </c>
      <c r="J232" s="187">
        <f t="shared" si="109"/>
        <v>0</v>
      </c>
      <c r="K232" s="187">
        <f t="shared" si="109"/>
        <v>0</v>
      </c>
      <c r="L232" s="187">
        <f t="shared" si="109"/>
        <v>0</v>
      </c>
    </row>
    <row r="233" spans="1:12" ht="14.1" customHeight="1" x14ac:dyDescent="0.25">
      <c r="A233" s="95"/>
      <c r="B233" s="131"/>
      <c r="C233" s="185"/>
      <c r="D233" s="188"/>
      <c r="E233" s="185"/>
      <c r="F233" s="240"/>
      <c r="G233" s="173"/>
      <c r="H233" s="173"/>
      <c r="I233" s="173"/>
      <c r="J233" s="173"/>
      <c r="K233" s="173"/>
      <c r="L233" s="173"/>
    </row>
    <row r="234" spans="1:12" ht="14.1" customHeight="1" x14ac:dyDescent="0.25">
      <c r="A234" s="95" t="s">
        <v>411</v>
      </c>
      <c r="B234" s="131" t="s">
        <v>421</v>
      </c>
      <c r="C234" s="185">
        <v>340</v>
      </c>
      <c r="D234" s="188"/>
      <c r="E234" s="185">
        <v>0</v>
      </c>
      <c r="F234" s="240">
        <v>0</v>
      </c>
      <c r="G234" s="173">
        <v>0</v>
      </c>
      <c r="H234" s="173">
        <v>0</v>
      </c>
      <c r="I234" s="173">
        <v>0</v>
      </c>
      <c r="J234" s="173">
        <v>0</v>
      </c>
      <c r="K234" s="173">
        <v>0</v>
      </c>
      <c r="L234" s="173">
        <v>0</v>
      </c>
    </row>
    <row r="235" spans="1:12" ht="14.1" customHeight="1" x14ac:dyDescent="0.25">
      <c r="A235" s="95" t="s">
        <v>412</v>
      </c>
      <c r="B235" s="131" t="s">
        <v>420</v>
      </c>
      <c r="C235" s="185">
        <v>0</v>
      </c>
      <c r="D235" s="188"/>
      <c r="E235" s="185">
        <v>0</v>
      </c>
      <c r="F235" s="240">
        <v>0</v>
      </c>
      <c r="G235" s="173">
        <v>30000</v>
      </c>
      <c r="H235" s="173">
        <v>30000</v>
      </c>
      <c r="I235" s="173">
        <v>30000</v>
      </c>
      <c r="J235" s="173">
        <v>30000</v>
      </c>
      <c r="K235" s="173">
        <v>30000</v>
      </c>
      <c r="L235" s="173">
        <v>0</v>
      </c>
    </row>
    <row r="236" spans="1:12" ht="14.1" customHeight="1" x14ac:dyDescent="0.25">
      <c r="A236" s="95" t="s">
        <v>413</v>
      </c>
      <c r="B236" s="131" t="s">
        <v>419</v>
      </c>
      <c r="C236" s="185">
        <v>0</v>
      </c>
      <c r="D236" s="188"/>
      <c r="E236" s="185">
        <v>0</v>
      </c>
      <c r="F236" s="240">
        <v>17191</v>
      </c>
      <c r="G236" s="173">
        <v>30000</v>
      </c>
      <c r="H236" s="173">
        <v>30000</v>
      </c>
      <c r="I236" s="173">
        <v>30000</v>
      </c>
      <c r="J236" s="173">
        <v>30000</v>
      </c>
      <c r="K236" s="173">
        <v>30000</v>
      </c>
      <c r="L236" s="173">
        <v>0</v>
      </c>
    </row>
    <row r="237" spans="1:12" ht="14.1" customHeight="1" x14ac:dyDescent="0.25">
      <c r="A237" s="95" t="s">
        <v>414</v>
      </c>
      <c r="B237" s="131" t="s">
        <v>418</v>
      </c>
      <c r="C237" s="185">
        <v>527</v>
      </c>
      <c r="D237" s="188"/>
      <c r="E237" s="185">
        <v>0</v>
      </c>
      <c r="F237" s="240">
        <v>0</v>
      </c>
      <c r="G237" s="173">
        <v>0</v>
      </c>
      <c r="H237" s="173">
        <v>0</v>
      </c>
      <c r="I237" s="173">
        <v>0</v>
      </c>
      <c r="J237" s="173">
        <v>0</v>
      </c>
      <c r="K237" s="173">
        <v>0</v>
      </c>
      <c r="L237" s="173">
        <v>0</v>
      </c>
    </row>
    <row r="238" spans="1:12" ht="14.1" customHeight="1" x14ac:dyDescent="0.25">
      <c r="A238" s="95" t="s">
        <v>404</v>
      </c>
      <c r="B238" s="131" t="s">
        <v>405</v>
      </c>
      <c r="C238" s="185">
        <v>0</v>
      </c>
      <c r="D238" s="188"/>
      <c r="E238" s="185">
        <v>0</v>
      </c>
      <c r="F238" s="240">
        <v>0</v>
      </c>
      <c r="G238" s="173">
        <v>0</v>
      </c>
      <c r="H238" s="173">
        <v>0</v>
      </c>
      <c r="I238" s="173">
        <v>0</v>
      </c>
      <c r="J238" s="173">
        <v>0</v>
      </c>
      <c r="K238" s="173">
        <v>0</v>
      </c>
      <c r="L238" s="173">
        <v>0</v>
      </c>
    </row>
    <row r="239" spans="1:12" ht="14.1" customHeight="1" x14ac:dyDescent="0.25">
      <c r="A239" s="95" t="s">
        <v>415</v>
      </c>
      <c r="B239" s="131" t="s">
        <v>417</v>
      </c>
      <c r="C239" s="185">
        <v>0</v>
      </c>
      <c r="D239" s="188"/>
      <c r="E239" s="185">
        <v>0</v>
      </c>
      <c r="F239" s="240">
        <v>0</v>
      </c>
      <c r="G239" s="173">
        <v>0</v>
      </c>
      <c r="H239" s="173">
        <v>0</v>
      </c>
      <c r="I239" s="173">
        <v>0</v>
      </c>
      <c r="J239" s="173">
        <v>0</v>
      </c>
      <c r="K239" s="173">
        <v>0</v>
      </c>
      <c r="L239" s="173">
        <v>0</v>
      </c>
    </row>
    <row r="240" spans="1:12" ht="14.1" customHeight="1" x14ac:dyDescent="0.25">
      <c r="A240" s="95"/>
      <c r="B240" s="131"/>
      <c r="C240" s="187">
        <f>SUM(C234:C239)</f>
        <v>867</v>
      </c>
      <c r="D240" s="188"/>
      <c r="E240" s="185">
        <f t="shared" ref="E240:L240" si="110">SUM(E234:E239)</f>
        <v>0</v>
      </c>
      <c r="F240" s="240">
        <f t="shared" si="110"/>
        <v>17191</v>
      </c>
      <c r="G240" s="185">
        <f t="shared" si="110"/>
        <v>60000</v>
      </c>
      <c r="H240" s="185">
        <f t="shared" si="110"/>
        <v>60000</v>
      </c>
      <c r="I240" s="185">
        <f t="shared" si="110"/>
        <v>60000</v>
      </c>
      <c r="J240" s="185">
        <f t="shared" si="110"/>
        <v>60000</v>
      </c>
      <c r="K240" s="185">
        <f t="shared" si="110"/>
        <v>60000</v>
      </c>
      <c r="L240" s="185">
        <f t="shared" si="110"/>
        <v>0</v>
      </c>
    </row>
    <row r="241" spans="1:12" ht="14.1" customHeight="1" x14ac:dyDescent="0.25">
      <c r="A241" s="95"/>
      <c r="B241" s="131"/>
      <c r="C241" s="187"/>
      <c r="D241" s="188"/>
      <c r="E241" s="185"/>
      <c r="F241" s="240"/>
      <c r="G241" s="173"/>
      <c r="H241" s="173"/>
      <c r="I241" s="173"/>
      <c r="J241" s="173"/>
      <c r="K241" s="173"/>
      <c r="L241" s="173"/>
    </row>
    <row r="242" spans="1:12" ht="14.1" customHeight="1" x14ac:dyDescent="0.25">
      <c r="A242" s="95" t="s">
        <v>463</v>
      </c>
      <c r="B242" s="131" t="s">
        <v>466</v>
      </c>
      <c r="C242" s="185">
        <v>300000</v>
      </c>
      <c r="D242" s="185">
        <v>109000</v>
      </c>
      <c r="E242" s="185">
        <v>109000</v>
      </c>
      <c r="F242" s="240">
        <v>91000</v>
      </c>
      <c r="G242" s="173">
        <v>109000</v>
      </c>
      <c r="H242" s="173">
        <v>109000</v>
      </c>
      <c r="I242" s="173">
        <v>109000</v>
      </c>
      <c r="J242" s="173">
        <v>79000</v>
      </c>
      <c r="K242" s="173">
        <v>79000</v>
      </c>
      <c r="L242" s="173">
        <v>79000</v>
      </c>
    </row>
    <row r="243" spans="1:12" ht="14.1" customHeight="1" x14ac:dyDescent="0.25">
      <c r="A243" s="95" t="s">
        <v>465</v>
      </c>
      <c r="B243" s="131" t="s">
        <v>464</v>
      </c>
      <c r="C243" s="187">
        <v>300000</v>
      </c>
      <c r="D243" s="188"/>
      <c r="E243" s="187">
        <f t="shared" ref="E243:L243" si="111">SUM(E242)</f>
        <v>109000</v>
      </c>
      <c r="F243" s="240">
        <f t="shared" si="111"/>
        <v>91000</v>
      </c>
      <c r="G243" s="187">
        <f t="shared" si="111"/>
        <v>109000</v>
      </c>
      <c r="H243" s="187">
        <f t="shared" si="111"/>
        <v>109000</v>
      </c>
      <c r="I243" s="187">
        <f t="shared" si="111"/>
        <v>109000</v>
      </c>
      <c r="J243" s="187">
        <f t="shared" si="111"/>
        <v>79000</v>
      </c>
      <c r="K243" s="187">
        <f t="shared" si="111"/>
        <v>79000</v>
      </c>
      <c r="L243" s="187">
        <f t="shared" si="111"/>
        <v>79000</v>
      </c>
    </row>
    <row r="244" spans="1:12" ht="14.1" customHeight="1" x14ac:dyDescent="0.25">
      <c r="A244" s="95"/>
      <c r="B244" s="131"/>
      <c r="C244" s="188"/>
      <c r="D244" s="188"/>
      <c r="E244" s="185"/>
      <c r="F244" s="240"/>
      <c r="G244" s="173"/>
      <c r="H244" s="173"/>
      <c r="I244" s="173"/>
      <c r="J244" s="173"/>
      <c r="K244" s="173"/>
      <c r="L244" s="173"/>
    </row>
    <row r="245" spans="1:12" ht="14.1" customHeight="1" x14ac:dyDescent="0.25">
      <c r="A245" s="210"/>
      <c r="B245" s="216" t="s">
        <v>527</v>
      </c>
      <c r="C245" s="212">
        <f>C246-C9</f>
        <v>2609314</v>
      </c>
      <c r="D245" s="212"/>
      <c r="E245" s="212">
        <f t="shared" ref="E245:L245" si="112">E246-E9</f>
        <v>3147643.08</v>
      </c>
      <c r="F245" s="212">
        <f t="shared" si="112"/>
        <v>2481115</v>
      </c>
      <c r="G245" s="212">
        <f t="shared" si="112"/>
        <v>2882646.7349999999</v>
      </c>
      <c r="H245" s="212">
        <f t="shared" si="112"/>
        <v>2920608.5590500003</v>
      </c>
      <c r="I245" s="212">
        <f t="shared" si="112"/>
        <v>3155972.6532494999</v>
      </c>
      <c r="J245" s="212">
        <f t="shared" si="112"/>
        <v>3029075.8155458081</v>
      </c>
      <c r="K245" s="212">
        <f t="shared" si="112"/>
        <v>3206375.3682117895</v>
      </c>
      <c r="L245" s="212">
        <f t="shared" si="112"/>
        <v>3279125.1871827478</v>
      </c>
    </row>
    <row r="246" spans="1:12" ht="14.1" customHeight="1" x14ac:dyDescent="0.25">
      <c r="A246" s="213"/>
      <c r="B246" s="214" t="s">
        <v>423</v>
      </c>
      <c r="C246" s="215">
        <f>SUM(C243,C240,C232,C229,C226,C223,C220,C216,C213,C207,C204,C201,C198,C193,C187,C190,C184,C181,C177,C172,C169,C166,C153,C148,C145,C142,C137,C132,C121,C116,C113,C108,C105,C89,C79,C70,C63,C58,C52,C44,C41,C37,C34,C17,C9)</f>
        <v>4187039</v>
      </c>
      <c r="D246" s="215"/>
      <c r="E246" s="215">
        <f t="shared" ref="E246:L246" si="113">SUM(E243,E240,E232,E229,E226,E223,E220,E216,E213,E207,E204,E201,E198,E193,E187,E190,E184,E181,E177,E172,E169,E166,E153,E148,E145,E142,E137,E132,E121,E116,E113,E108,E105,E89,E79,E70,E63,E58,E52,E44,E41,E37,E34,E17,E9)</f>
        <v>3945865.08</v>
      </c>
      <c r="F246" s="215">
        <f t="shared" si="113"/>
        <v>3279337</v>
      </c>
      <c r="G246" s="215">
        <f t="shared" si="113"/>
        <v>3660592.7349999999</v>
      </c>
      <c r="H246" s="215">
        <f t="shared" si="113"/>
        <v>3719924.5590500003</v>
      </c>
      <c r="I246" s="215">
        <f t="shared" si="113"/>
        <v>3819349.6532494999</v>
      </c>
      <c r="J246" s="215">
        <f t="shared" si="113"/>
        <v>3763004.8155458081</v>
      </c>
      <c r="K246" s="215">
        <f t="shared" si="113"/>
        <v>3918782.3682117895</v>
      </c>
      <c r="L246" s="215">
        <f t="shared" si="113"/>
        <v>3985216.1871827478</v>
      </c>
    </row>
    <row r="247" spans="1:12" ht="14.1" customHeight="1" x14ac:dyDescent="0.25">
      <c r="A247" s="109"/>
      <c r="B247" s="109"/>
      <c r="C247" s="109"/>
      <c r="D247" s="280"/>
      <c r="E247" s="132"/>
      <c r="F247" s="185"/>
      <c r="G247" s="173"/>
      <c r="H247" s="173"/>
      <c r="I247" s="173"/>
      <c r="J247" s="173"/>
      <c r="K247" s="173"/>
      <c r="L247" s="173"/>
    </row>
    <row r="248" spans="1:12" ht="14.1" customHeight="1" x14ac:dyDescent="0.25">
      <c r="A248" s="109"/>
      <c r="B248" s="281"/>
      <c r="C248" s="281"/>
      <c r="D248" s="109"/>
      <c r="E248" s="132"/>
      <c r="F248" s="185"/>
      <c r="G248" s="173"/>
      <c r="H248" s="173"/>
      <c r="I248" s="173"/>
      <c r="J248" s="173"/>
      <c r="K248" s="173"/>
      <c r="L248" s="173"/>
    </row>
    <row r="249" spans="1:12" ht="14.1" customHeight="1" thickBot="1" x14ac:dyDescent="0.3">
      <c r="A249" s="272"/>
      <c r="B249" s="272"/>
      <c r="C249" s="272"/>
      <c r="D249" s="272"/>
      <c r="E249" s="273"/>
      <c r="F249" s="175"/>
      <c r="G249" s="274"/>
      <c r="H249" s="274"/>
      <c r="I249" s="274"/>
      <c r="J249" s="274"/>
      <c r="K249" s="274"/>
      <c r="L249" s="274"/>
    </row>
    <row r="250" spans="1:12" ht="14.1" customHeight="1" thickBot="1" x14ac:dyDescent="0.3">
      <c r="A250" s="231"/>
      <c r="B250" s="232" t="s">
        <v>528</v>
      </c>
      <c r="C250" s="233"/>
      <c r="D250" s="233"/>
      <c r="E250" s="253"/>
      <c r="F250" s="263"/>
      <c r="G250" s="263"/>
      <c r="H250" s="263"/>
      <c r="I250" s="263"/>
      <c r="J250" s="263"/>
      <c r="K250" s="263"/>
      <c r="L250" s="267"/>
    </row>
    <row r="251" spans="1:12" ht="14.1" customHeight="1" x14ac:dyDescent="0.25">
      <c r="A251" s="228"/>
      <c r="B251" s="229" t="s">
        <v>529</v>
      </c>
      <c r="C251" s="230"/>
      <c r="D251" s="230"/>
      <c r="E251" s="234">
        <f>'6511 Income'!H31</f>
        <v>2368140</v>
      </c>
      <c r="F251" s="264">
        <f>'6511 Income'!I31</f>
        <v>2481115</v>
      </c>
      <c r="G251" s="264">
        <f>'6511 Income'!J31</f>
        <v>2862370.75</v>
      </c>
      <c r="H251" s="264">
        <f>'6511 Income'!K31</f>
        <v>2941978.12</v>
      </c>
      <c r="I251" s="264">
        <f>'6511 Income'!L31</f>
        <v>3020033.7272000001</v>
      </c>
      <c r="J251" s="264">
        <f>'6511 Income'!M31</f>
        <v>3099627.5856319997</v>
      </c>
      <c r="K251" s="264">
        <f>'6511 Income'!N31</f>
        <v>3184853.3581389198</v>
      </c>
      <c r="L251" s="268">
        <f>'6511 Income'!O31</f>
        <v>3272808.8013754492</v>
      </c>
    </row>
    <row r="252" spans="1:12" ht="14.1" customHeight="1" x14ac:dyDescent="0.25">
      <c r="A252" s="224"/>
      <c r="B252" s="222" t="s">
        <v>530</v>
      </c>
      <c r="C252" s="174"/>
      <c r="D252" s="174"/>
      <c r="E252" s="172">
        <f t="shared" ref="E252:L252" si="114">E245</f>
        <v>3147643.08</v>
      </c>
      <c r="F252" s="265">
        <f t="shared" si="114"/>
        <v>2481115</v>
      </c>
      <c r="G252" s="265">
        <f t="shared" si="114"/>
        <v>2882646.7349999999</v>
      </c>
      <c r="H252" s="265">
        <f t="shared" si="114"/>
        <v>2920608.5590500003</v>
      </c>
      <c r="I252" s="265">
        <f t="shared" si="114"/>
        <v>3155972.6532494999</v>
      </c>
      <c r="J252" s="265">
        <f t="shared" si="114"/>
        <v>3029075.8155458081</v>
      </c>
      <c r="K252" s="265">
        <f t="shared" si="114"/>
        <v>3206375.3682117895</v>
      </c>
      <c r="L252" s="269">
        <f t="shared" si="114"/>
        <v>3279125.1871827478</v>
      </c>
    </row>
    <row r="253" spans="1:12" ht="14.1" customHeight="1" x14ac:dyDescent="0.25">
      <c r="A253" s="224"/>
      <c r="B253" s="222" t="s">
        <v>531</v>
      </c>
      <c r="C253" s="174"/>
      <c r="D253" s="174"/>
      <c r="E253" s="172">
        <f t="shared" ref="E253:L253" si="115">SUM(E251-E252)</f>
        <v>-779503.08000000007</v>
      </c>
      <c r="F253" s="265">
        <f t="shared" si="115"/>
        <v>0</v>
      </c>
      <c r="G253" s="265">
        <f t="shared" si="115"/>
        <v>-20275.98499999987</v>
      </c>
      <c r="H253" s="265">
        <f t="shared" si="115"/>
        <v>21369.560949999839</v>
      </c>
      <c r="I253" s="265">
        <f t="shared" si="115"/>
        <v>-135938.92604949977</v>
      </c>
      <c r="J253" s="265">
        <f t="shared" si="115"/>
        <v>70551.770086191595</v>
      </c>
      <c r="K253" s="265">
        <f t="shared" si="115"/>
        <v>-21522.010072869714</v>
      </c>
      <c r="L253" s="269">
        <f t="shared" si="115"/>
        <v>-6316.3858072985895</v>
      </c>
    </row>
    <row r="254" spans="1:12" ht="14.1" customHeight="1" x14ac:dyDescent="0.25">
      <c r="A254" s="224"/>
      <c r="B254" s="109"/>
      <c r="C254" s="109"/>
      <c r="D254" s="109"/>
      <c r="E254" s="132"/>
      <c r="F254" s="186"/>
      <c r="G254" s="186"/>
      <c r="H254" s="186"/>
      <c r="I254" s="186"/>
      <c r="J254" s="186"/>
      <c r="K254" s="186"/>
      <c r="L254" s="270"/>
    </row>
    <row r="255" spans="1:12" ht="14.1" customHeight="1" x14ac:dyDescent="0.25">
      <c r="A255" s="224"/>
      <c r="B255" s="109"/>
      <c r="C255" s="109"/>
      <c r="D255" s="109"/>
      <c r="E255" s="132"/>
      <c r="F255" s="186"/>
      <c r="G255" s="186"/>
      <c r="H255" s="186"/>
      <c r="I255" s="186"/>
      <c r="J255" s="186"/>
      <c r="K255" s="186"/>
      <c r="L255" s="270"/>
    </row>
    <row r="256" spans="1:12" ht="14.1" customHeight="1" x14ac:dyDescent="0.25">
      <c r="A256" s="224"/>
      <c r="B256" s="223" t="s">
        <v>532</v>
      </c>
      <c r="C256" s="109"/>
      <c r="D256" s="109"/>
      <c r="E256" s="185">
        <f>'6511 Income'!H32</f>
        <v>3945865</v>
      </c>
      <c r="F256" s="186">
        <f>'6511 Income'!I32</f>
        <v>3279337</v>
      </c>
      <c r="G256" s="186">
        <f>'6511 Income'!J32</f>
        <v>3660592.75</v>
      </c>
      <c r="H256" s="186">
        <f>'6511 Income'!K32</f>
        <v>3719924.12</v>
      </c>
      <c r="I256" s="186">
        <f>'6511 Income'!L32</f>
        <v>3819349.7272000001</v>
      </c>
      <c r="J256" s="186">
        <f>'6511 Income'!M32</f>
        <v>3763004.5856319997</v>
      </c>
      <c r="K256" s="186">
        <f>'6511 Income'!N32</f>
        <v>3918782.3581389198</v>
      </c>
      <c r="L256" s="270">
        <f>'6511 Income'!O32</f>
        <v>3985215.8013754492</v>
      </c>
    </row>
    <row r="257" spans="1:12" ht="14.1" customHeight="1" x14ac:dyDescent="0.25">
      <c r="A257" s="224"/>
      <c r="B257" s="223" t="s">
        <v>533</v>
      </c>
      <c r="C257" s="109"/>
      <c r="D257" s="109"/>
      <c r="E257" s="185">
        <f t="shared" ref="E257:L257" si="116">E246</f>
        <v>3945865.08</v>
      </c>
      <c r="F257" s="186">
        <f t="shared" si="116"/>
        <v>3279337</v>
      </c>
      <c r="G257" s="186">
        <f t="shared" si="116"/>
        <v>3660592.7349999999</v>
      </c>
      <c r="H257" s="186">
        <f t="shared" si="116"/>
        <v>3719924.5590500003</v>
      </c>
      <c r="I257" s="186">
        <f t="shared" si="116"/>
        <v>3819349.6532494999</v>
      </c>
      <c r="J257" s="186">
        <f t="shared" si="116"/>
        <v>3763004.8155458081</v>
      </c>
      <c r="K257" s="186">
        <f t="shared" si="116"/>
        <v>3918782.3682117895</v>
      </c>
      <c r="L257" s="270">
        <f t="shared" si="116"/>
        <v>3985216.1871827478</v>
      </c>
    </row>
    <row r="258" spans="1:12" ht="14.1" customHeight="1" thickBot="1" x14ac:dyDescent="0.3">
      <c r="A258" s="225"/>
      <c r="B258" s="226" t="s">
        <v>8</v>
      </c>
      <c r="C258" s="227"/>
      <c r="D258" s="227"/>
      <c r="E258" s="235">
        <f t="shared" ref="E258:L258" si="117">SUM(E256-E257)</f>
        <v>-8.0000000074505806E-2</v>
      </c>
      <c r="F258" s="235">
        <f t="shared" si="117"/>
        <v>0</v>
      </c>
      <c r="G258" s="235">
        <f t="shared" si="117"/>
        <v>1.500000013038516E-2</v>
      </c>
      <c r="H258" s="235">
        <f t="shared" si="117"/>
        <v>-0.43905000016093254</v>
      </c>
      <c r="I258" s="235">
        <f t="shared" si="117"/>
        <v>7.3950500227510929E-2</v>
      </c>
      <c r="J258" s="235">
        <f t="shared" si="117"/>
        <v>-0.22991380840539932</v>
      </c>
      <c r="K258" s="235">
        <f t="shared" si="117"/>
        <v>-1.0072869714349508E-2</v>
      </c>
      <c r="L258" s="271">
        <f t="shared" si="117"/>
        <v>-0.3858072985894978</v>
      </c>
    </row>
  </sheetData>
  <phoneticPr fontId="18" type="noConversion"/>
  <pageMargins left="0.25" right="0.25" top="0.5" bottom="0.5" header="0.3" footer="0.3"/>
  <pageSetup scale="76" firstPageNumber="2" fitToHeight="0" orientation="landscape" useFirstPageNumber="1" r:id="rId1"/>
  <headerFooter>
    <oddFooter>&amp;C&amp;"Helvetica,Regular"&amp;12&amp;K000000&amp;P</oddFooter>
  </headerFooter>
  <ignoredErrors>
    <ignoredError sqref="H128"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78E27-3715-4F02-A5B8-F5F6F94C59F8}">
  <sheetPr>
    <tabColor rgb="FF00B050"/>
  </sheetPr>
  <dimension ref="A1:IL15"/>
  <sheetViews>
    <sheetView workbookViewId="0">
      <selection activeCell="M14" sqref="M14"/>
    </sheetView>
  </sheetViews>
  <sheetFormatPr defaultColWidth="15.42578125" defaultRowHeight="12.75" x14ac:dyDescent="0.2"/>
  <cols>
    <col min="2" max="2" width="34.5703125" customWidth="1"/>
    <col min="5" max="5" width="15.42578125" style="245"/>
    <col min="6" max="12" width="13.140625" customWidth="1"/>
  </cols>
  <sheetData>
    <row r="1" spans="1:246" ht="32.450000000000003" customHeight="1" x14ac:dyDescent="0.2">
      <c r="A1" s="184" t="s">
        <v>33</v>
      </c>
      <c r="B1" s="184" t="s">
        <v>34</v>
      </c>
      <c r="C1" s="256" t="s">
        <v>524</v>
      </c>
      <c r="D1" s="256" t="s">
        <v>541</v>
      </c>
      <c r="E1" s="255" t="s">
        <v>544</v>
      </c>
      <c r="F1" s="282">
        <v>2023</v>
      </c>
      <c r="G1" s="282">
        <v>2024</v>
      </c>
      <c r="H1" s="282">
        <v>2025</v>
      </c>
      <c r="I1" s="283">
        <v>2026</v>
      </c>
      <c r="J1" s="283">
        <v>2027</v>
      </c>
      <c r="K1" s="282">
        <v>2028</v>
      </c>
      <c r="L1" s="85"/>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row>
    <row r="2" spans="1:246" ht="15" customHeight="1" x14ac:dyDescent="0.2">
      <c r="A2" s="86"/>
      <c r="B2" s="86"/>
      <c r="C2" s="86"/>
      <c r="D2" s="86"/>
      <c r="E2" s="201"/>
      <c r="F2" s="102"/>
      <c r="G2" s="102"/>
      <c r="H2" s="102"/>
      <c r="I2" s="102"/>
      <c r="J2" s="102"/>
      <c r="K2" s="102"/>
      <c r="L2" s="85"/>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row>
    <row r="3" spans="1:246" ht="15" customHeight="1" x14ac:dyDescent="0.25">
      <c r="A3" s="87" t="s">
        <v>190</v>
      </c>
      <c r="B3" s="88"/>
      <c r="C3" s="251"/>
      <c r="D3" s="251"/>
      <c r="E3" s="201"/>
      <c r="F3" s="102"/>
      <c r="G3" s="102"/>
      <c r="H3" s="102"/>
      <c r="I3" s="102"/>
      <c r="J3" s="102"/>
      <c r="K3" s="102"/>
      <c r="L3" s="85"/>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row>
    <row r="4" spans="1:246" ht="15" customHeight="1" x14ac:dyDescent="0.25">
      <c r="A4" s="88" t="s">
        <v>313</v>
      </c>
      <c r="B4" s="89" t="s">
        <v>9</v>
      </c>
      <c r="C4" s="90">
        <v>300000</v>
      </c>
      <c r="D4" s="90">
        <v>300000</v>
      </c>
      <c r="E4" s="201">
        <v>130650</v>
      </c>
      <c r="F4" s="102">
        <f t="shared" ref="F4:K4" si="0">E11</f>
        <v>151650</v>
      </c>
      <c r="G4" s="102">
        <f t="shared" si="0"/>
        <v>205650</v>
      </c>
      <c r="H4" s="102">
        <f t="shared" si="0"/>
        <v>14650</v>
      </c>
      <c r="I4" s="102">
        <f t="shared" si="0"/>
        <v>63650</v>
      </c>
      <c r="J4" s="102">
        <f t="shared" si="0"/>
        <v>142650</v>
      </c>
      <c r="K4" s="102">
        <f t="shared" si="0"/>
        <v>221650</v>
      </c>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row>
    <row r="5" spans="1:246" ht="13.5" customHeight="1" x14ac:dyDescent="0.25">
      <c r="A5" s="88" t="s">
        <v>322</v>
      </c>
      <c r="B5" s="89" t="s">
        <v>6</v>
      </c>
      <c r="C5" s="90">
        <v>0</v>
      </c>
      <c r="D5" s="90">
        <v>0</v>
      </c>
      <c r="E5" s="201">
        <v>0</v>
      </c>
      <c r="F5" s="102">
        <v>0</v>
      </c>
      <c r="G5" s="102">
        <v>0</v>
      </c>
      <c r="H5" s="102">
        <v>0</v>
      </c>
      <c r="I5" s="102">
        <v>0</v>
      </c>
      <c r="J5" s="102">
        <v>0</v>
      </c>
      <c r="K5" s="102">
        <v>0</v>
      </c>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row>
    <row r="6" spans="1:246" ht="13.7" customHeight="1" x14ac:dyDescent="0.25">
      <c r="A6" s="88" t="s">
        <v>325</v>
      </c>
      <c r="B6" s="89" t="s">
        <v>31</v>
      </c>
      <c r="C6" s="90">
        <v>109000</v>
      </c>
      <c r="D6" s="90">
        <v>109000</v>
      </c>
      <c r="E6" s="201">
        <v>91000</v>
      </c>
      <c r="F6" s="102">
        <v>109000</v>
      </c>
      <c r="G6" s="102">
        <v>109000</v>
      </c>
      <c r="H6" s="102">
        <v>109000</v>
      </c>
      <c r="I6" s="102">
        <v>79000</v>
      </c>
      <c r="J6" s="102">
        <v>79000</v>
      </c>
      <c r="K6" s="102">
        <v>79000</v>
      </c>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row>
    <row r="7" spans="1:246" ht="15" x14ac:dyDescent="0.25">
      <c r="A7" s="219"/>
      <c r="B7" s="220" t="s">
        <v>467</v>
      </c>
      <c r="C7" s="252">
        <f>SUM(C4:C6)</f>
        <v>409000</v>
      </c>
      <c r="D7" s="252">
        <v>409000</v>
      </c>
      <c r="E7" s="238">
        <f t="shared" ref="E7:K7" si="1">SUM(E4:E6)</f>
        <v>221650</v>
      </c>
      <c r="F7" s="238">
        <f t="shared" si="1"/>
        <v>260650</v>
      </c>
      <c r="G7" s="238">
        <f t="shared" si="1"/>
        <v>314650</v>
      </c>
      <c r="H7" s="238">
        <f t="shared" si="1"/>
        <v>123650</v>
      </c>
      <c r="I7" s="238">
        <f t="shared" si="1"/>
        <v>142650</v>
      </c>
      <c r="J7" s="238">
        <f t="shared" si="1"/>
        <v>221650</v>
      </c>
      <c r="K7" s="238">
        <f t="shared" si="1"/>
        <v>300650</v>
      </c>
    </row>
    <row r="8" spans="1:246" x14ac:dyDescent="0.2">
      <c r="A8" s="88"/>
      <c r="B8" s="88"/>
      <c r="C8" s="86"/>
      <c r="D8" s="86"/>
      <c r="E8" s="201"/>
      <c r="F8" s="102"/>
      <c r="G8" s="102"/>
      <c r="H8" s="102"/>
      <c r="I8" s="102"/>
      <c r="J8" s="102"/>
      <c r="K8" s="102"/>
    </row>
    <row r="9" spans="1:246" x14ac:dyDescent="0.2">
      <c r="A9" s="86"/>
      <c r="B9" s="86"/>
      <c r="C9" s="86"/>
      <c r="D9" s="86"/>
      <c r="E9" s="201"/>
      <c r="F9" s="102"/>
      <c r="G9" s="102"/>
      <c r="H9" s="102"/>
      <c r="I9" s="102"/>
      <c r="J9" s="102"/>
      <c r="K9" s="102"/>
    </row>
    <row r="10" spans="1:246" ht="15" x14ac:dyDescent="0.25">
      <c r="A10" s="87" t="s">
        <v>439</v>
      </c>
      <c r="B10" s="88"/>
      <c r="C10" s="251"/>
      <c r="D10" s="251"/>
      <c r="E10" s="201"/>
      <c r="F10" s="102"/>
      <c r="G10" s="102"/>
      <c r="H10" s="102"/>
      <c r="I10" s="102"/>
      <c r="J10" s="102"/>
      <c r="K10" s="102"/>
    </row>
    <row r="11" spans="1:246" ht="15" x14ac:dyDescent="0.25">
      <c r="A11" s="91" t="s">
        <v>442</v>
      </c>
      <c r="B11" s="89" t="s">
        <v>441</v>
      </c>
      <c r="C11" s="90">
        <v>109000</v>
      </c>
      <c r="D11" s="90">
        <v>130650</v>
      </c>
      <c r="E11" s="201">
        <v>151650</v>
      </c>
      <c r="F11" s="102">
        <v>205650</v>
      </c>
      <c r="G11" s="102">
        <v>14650</v>
      </c>
      <c r="H11" s="102">
        <v>63650</v>
      </c>
      <c r="I11" s="102">
        <v>142650</v>
      </c>
      <c r="J11" s="102">
        <v>221650</v>
      </c>
      <c r="K11" s="102">
        <v>300650</v>
      </c>
    </row>
    <row r="12" spans="1:246" ht="15" x14ac:dyDescent="0.25">
      <c r="A12" s="91" t="s">
        <v>443</v>
      </c>
      <c r="B12" s="89" t="s">
        <v>444</v>
      </c>
      <c r="C12" s="90">
        <v>0</v>
      </c>
      <c r="D12" s="90">
        <v>0</v>
      </c>
      <c r="E12" s="201">
        <v>0</v>
      </c>
      <c r="F12" s="102">
        <v>0</v>
      </c>
      <c r="G12" s="102">
        <v>0</v>
      </c>
      <c r="H12" s="102">
        <v>0</v>
      </c>
      <c r="I12" s="102">
        <v>0</v>
      </c>
      <c r="J12" s="102"/>
      <c r="K12" s="102"/>
    </row>
    <row r="13" spans="1:246" ht="15" x14ac:dyDescent="0.25">
      <c r="A13" s="91" t="s">
        <v>446</v>
      </c>
      <c r="B13" s="89" t="s">
        <v>445</v>
      </c>
      <c r="C13" s="90">
        <v>300000</v>
      </c>
      <c r="D13" s="90">
        <v>278350</v>
      </c>
      <c r="E13" s="201">
        <v>70000</v>
      </c>
      <c r="F13" s="102">
        <v>55000</v>
      </c>
      <c r="G13" s="102">
        <v>300000</v>
      </c>
      <c r="H13" s="102">
        <v>60000</v>
      </c>
      <c r="I13" s="102">
        <v>0</v>
      </c>
      <c r="J13" s="102">
        <v>0</v>
      </c>
      <c r="K13" s="102">
        <v>0</v>
      </c>
    </row>
    <row r="14" spans="1:246" ht="15" x14ac:dyDescent="0.25">
      <c r="A14" s="91" t="s">
        <v>447</v>
      </c>
      <c r="B14" s="89" t="s">
        <v>448</v>
      </c>
      <c r="C14" s="90">
        <v>0</v>
      </c>
      <c r="D14" s="90">
        <v>0</v>
      </c>
      <c r="E14" s="201">
        <v>0</v>
      </c>
      <c r="F14" s="102">
        <v>0</v>
      </c>
      <c r="G14" s="102">
        <v>0</v>
      </c>
      <c r="H14" s="102">
        <v>0</v>
      </c>
      <c r="I14" s="102">
        <v>0</v>
      </c>
      <c r="J14" s="102">
        <v>0</v>
      </c>
      <c r="K14" s="102">
        <v>0</v>
      </c>
    </row>
    <row r="15" spans="1:246" ht="15" x14ac:dyDescent="0.25">
      <c r="A15" s="217"/>
      <c r="B15" s="211" t="s">
        <v>440</v>
      </c>
      <c r="C15" s="218">
        <f t="shared" ref="C15:K15" si="2">SUM(C11:C14)</f>
        <v>409000</v>
      </c>
      <c r="D15" s="218">
        <f t="shared" si="2"/>
        <v>409000</v>
      </c>
      <c r="E15" s="246">
        <f t="shared" si="2"/>
        <v>221650</v>
      </c>
      <c r="F15" s="246">
        <f t="shared" si="2"/>
        <v>260650</v>
      </c>
      <c r="G15" s="246">
        <f t="shared" si="2"/>
        <v>314650</v>
      </c>
      <c r="H15" s="246">
        <f t="shared" si="2"/>
        <v>123650</v>
      </c>
      <c r="I15" s="246">
        <f t="shared" si="2"/>
        <v>142650</v>
      </c>
      <c r="J15" s="246">
        <f t="shared" si="2"/>
        <v>221650</v>
      </c>
      <c r="K15" s="246">
        <f t="shared" si="2"/>
        <v>300650</v>
      </c>
    </row>
  </sheetData>
  <pageMargins left="0.7" right="0.7" top="0.75" bottom="0.7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70B9F-5BC2-D24E-8408-7B998A96C391}">
  <sheetPr>
    <tabColor rgb="FFFFFF00"/>
  </sheetPr>
  <dimension ref="A1:IU39"/>
  <sheetViews>
    <sheetView workbookViewId="0"/>
  </sheetViews>
  <sheetFormatPr defaultColWidth="8.85546875" defaultRowHeight="14.1" customHeight="1" x14ac:dyDescent="0.25"/>
  <cols>
    <col min="1" max="1" width="23.140625" style="72" customWidth="1"/>
    <col min="2" max="2" width="24.7109375" style="72" customWidth="1"/>
    <col min="3" max="3" width="34.85546875" style="72" customWidth="1"/>
    <col min="4" max="4" width="17.7109375" style="72" customWidth="1"/>
    <col min="5" max="255" width="8.85546875" style="72"/>
    <col min="256" max="16384" width="8.85546875" style="73"/>
  </cols>
  <sheetData>
    <row r="1" spans="1:255" ht="60" customHeight="1" thickTop="1" thickBot="1" x14ac:dyDescent="0.3">
      <c r="A1" s="70" t="s">
        <v>51</v>
      </c>
      <c r="B1" s="70" t="s">
        <v>34</v>
      </c>
      <c r="C1" s="50" t="s">
        <v>35</v>
      </c>
      <c r="D1" s="71" t="s">
        <v>36</v>
      </c>
    </row>
    <row r="2" spans="1:255" ht="15.6" customHeight="1" x14ac:dyDescent="0.25">
      <c r="A2" s="74"/>
      <c r="B2" s="53"/>
      <c r="C2" s="53"/>
      <c r="D2" s="75"/>
    </row>
    <row r="3" spans="1:255" ht="13.7" customHeight="1" x14ac:dyDescent="0.25">
      <c r="A3" s="76" t="s">
        <v>52</v>
      </c>
      <c r="B3" s="77" t="s">
        <v>53</v>
      </c>
      <c r="C3" s="82" t="s">
        <v>54</v>
      </c>
      <c r="D3" s="77"/>
    </row>
    <row r="4" spans="1:255" ht="15" x14ac:dyDescent="0.25">
      <c r="A4" s="41"/>
      <c r="B4" s="3"/>
      <c r="C4" s="55"/>
      <c r="D4" s="11"/>
    </row>
    <row r="5" spans="1:255" ht="15" x14ac:dyDescent="0.25">
      <c r="A5" s="41"/>
      <c r="B5" s="3"/>
      <c r="C5" s="55"/>
      <c r="D5" s="41"/>
    </row>
    <row r="6" spans="1:255" ht="15" x14ac:dyDescent="0.25">
      <c r="A6" s="41"/>
      <c r="B6" s="3"/>
      <c r="C6" s="55"/>
      <c r="D6" s="41"/>
    </row>
    <row r="7" spans="1:255" ht="15" customHeight="1" x14ac:dyDescent="0.25">
      <c r="A7" s="41"/>
      <c r="B7" s="41"/>
      <c r="C7" s="61" t="s">
        <v>55</v>
      </c>
      <c r="D7" s="11">
        <f>SUM(D4:D6)</f>
        <v>0</v>
      </c>
    </row>
    <row r="8" spans="1:255" ht="15" customHeight="1" x14ac:dyDescent="0.25">
      <c r="A8" s="62" t="s">
        <v>56</v>
      </c>
      <c r="B8" s="41"/>
      <c r="C8" s="56"/>
      <c r="D8" s="11"/>
    </row>
    <row r="9" spans="1:255" ht="15" x14ac:dyDescent="0.25">
      <c r="A9" s="62" t="s">
        <v>57</v>
      </c>
      <c r="B9" s="41" t="s">
        <v>46</v>
      </c>
      <c r="C9" s="56" t="s">
        <v>58</v>
      </c>
      <c r="D9" s="11">
        <v>4700</v>
      </c>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c r="IQ9" s="73"/>
      <c r="IR9" s="73"/>
      <c r="IS9" s="73"/>
      <c r="IT9" s="73"/>
      <c r="IU9" s="73"/>
    </row>
    <row r="10" spans="1:255" ht="15" x14ac:dyDescent="0.25">
      <c r="A10" s="62" t="s">
        <v>59</v>
      </c>
      <c r="B10" s="41" t="s">
        <v>60</v>
      </c>
      <c r="C10" s="56"/>
      <c r="D10" s="11">
        <v>0</v>
      </c>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c r="IG10" s="73"/>
      <c r="IH10" s="73"/>
      <c r="II10" s="73"/>
      <c r="IJ10" s="73"/>
      <c r="IK10" s="73"/>
      <c r="IL10" s="73"/>
      <c r="IM10" s="73"/>
      <c r="IN10" s="73"/>
      <c r="IO10" s="73"/>
      <c r="IP10" s="73"/>
      <c r="IQ10" s="73"/>
      <c r="IR10" s="73"/>
      <c r="IS10" s="73"/>
      <c r="IT10" s="73"/>
      <c r="IU10" s="73"/>
    </row>
    <row r="11" spans="1:255" ht="15" x14ac:dyDescent="0.25">
      <c r="A11" s="62" t="s">
        <v>59</v>
      </c>
      <c r="B11" s="41" t="s">
        <v>61</v>
      </c>
      <c r="C11" s="56" t="s">
        <v>62</v>
      </c>
      <c r="D11" s="11">
        <v>40000</v>
      </c>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c r="IG11" s="73"/>
      <c r="IH11" s="73"/>
      <c r="II11" s="73"/>
      <c r="IJ11" s="73"/>
      <c r="IK11" s="73"/>
      <c r="IL11" s="73"/>
      <c r="IM11" s="73"/>
      <c r="IN11" s="73"/>
      <c r="IO11" s="73"/>
      <c r="IP11" s="73"/>
      <c r="IQ11" s="73"/>
      <c r="IR11" s="73"/>
      <c r="IS11" s="73"/>
      <c r="IT11" s="73"/>
      <c r="IU11" s="73"/>
    </row>
    <row r="12" spans="1:255" ht="15" x14ac:dyDescent="0.25">
      <c r="A12" s="62" t="s">
        <v>63</v>
      </c>
      <c r="B12" s="41" t="s">
        <v>64</v>
      </c>
      <c r="C12" s="56" t="s">
        <v>58</v>
      </c>
      <c r="D12" s="11">
        <v>6500</v>
      </c>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c r="IO12" s="73"/>
      <c r="IP12" s="73"/>
      <c r="IQ12" s="73"/>
      <c r="IR12" s="73"/>
      <c r="IS12" s="73"/>
      <c r="IT12" s="73"/>
      <c r="IU12" s="73"/>
    </row>
    <row r="13" spans="1:255" ht="15" x14ac:dyDescent="0.25">
      <c r="A13" s="62" t="s">
        <v>65</v>
      </c>
      <c r="B13" s="41" t="s">
        <v>66</v>
      </c>
      <c r="C13" s="56" t="s">
        <v>58</v>
      </c>
      <c r="D13" s="11">
        <v>7800</v>
      </c>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c r="IN13" s="73"/>
      <c r="IO13" s="73"/>
      <c r="IP13" s="73"/>
      <c r="IQ13" s="73"/>
      <c r="IR13" s="73"/>
      <c r="IS13" s="73"/>
      <c r="IT13" s="73"/>
      <c r="IU13" s="73"/>
    </row>
    <row r="14" spans="1:255" ht="15" customHeight="1" x14ac:dyDescent="0.25">
      <c r="A14" s="79" t="s">
        <v>67</v>
      </c>
      <c r="B14" s="78" t="s">
        <v>47</v>
      </c>
      <c r="C14" s="72" t="s">
        <v>58</v>
      </c>
      <c r="D14" s="69">
        <v>9200</v>
      </c>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row>
    <row r="15" spans="1:255" ht="14.1" customHeight="1" x14ac:dyDescent="0.25">
      <c r="A15" s="80" t="s">
        <v>68</v>
      </c>
      <c r="B15" s="72" t="s">
        <v>69</v>
      </c>
      <c r="C15" s="72" t="s">
        <v>58</v>
      </c>
      <c r="D15" s="69">
        <v>19000</v>
      </c>
    </row>
    <row r="16" spans="1:255" ht="14.1" customHeight="1" x14ac:dyDescent="0.25">
      <c r="A16" s="80" t="s">
        <v>70</v>
      </c>
      <c r="B16" s="72" t="s">
        <v>71</v>
      </c>
      <c r="C16" s="72" t="s">
        <v>72</v>
      </c>
      <c r="D16" s="69">
        <v>10000</v>
      </c>
    </row>
    <row r="17" spans="1:8" ht="14.1" customHeight="1" x14ac:dyDescent="0.25">
      <c r="A17" s="80" t="s">
        <v>73</v>
      </c>
      <c r="B17" s="72" t="s">
        <v>74</v>
      </c>
      <c r="C17" s="72" t="s">
        <v>72</v>
      </c>
      <c r="D17" s="69">
        <v>28000</v>
      </c>
    </row>
    <row r="18" spans="1:8" ht="14.1" customHeight="1" x14ac:dyDescent="0.25">
      <c r="A18" s="80" t="s">
        <v>75</v>
      </c>
      <c r="B18" s="72" t="s">
        <v>76</v>
      </c>
      <c r="C18" s="72" t="s">
        <v>77</v>
      </c>
      <c r="D18" s="69">
        <v>3000</v>
      </c>
    </row>
    <row r="19" spans="1:8" ht="14.1" customHeight="1" x14ac:dyDescent="0.25">
      <c r="A19" s="80" t="s">
        <v>78</v>
      </c>
      <c r="B19" s="72" t="s">
        <v>79</v>
      </c>
      <c r="C19" s="72" t="s">
        <v>58</v>
      </c>
      <c r="D19" s="69">
        <v>1000</v>
      </c>
    </row>
    <row r="20" spans="1:8" ht="14.1" customHeight="1" x14ac:dyDescent="0.25">
      <c r="A20" s="81" t="s">
        <v>80</v>
      </c>
      <c r="B20" s="72" t="s">
        <v>81</v>
      </c>
      <c r="C20" s="72" t="s">
        <v>82</v>
      </c>
      <c r="D20" s="69">
        <v>23000</v>
      </c>
    </row>
    <row r="21" spans="1:8" ht="14.1" customHeight="1" x14ac:dyDescent="0.25">
      <c r="A21" s="81" t="s">
        <v>83</v>
      </c>
      <c r="B21" s="72" t="s">
        <v>49</v>
      </c>
      <c r="C21" s="72" t="s">
        <v>82</v>
      </c>
      <c r="D21" s="72">
        <v>800</v>
      </c>
    </row>
    <row r="22" spans="1:8" ht="14.1" customHeight="1" x14ac:dyDescent="0.25">
      <c r="A22" s="81" t="s">
        <v>84</v>
      </c>
      <c r="B22" s="72" t="s">
        <v>50</v>
      </c>
      <c r="C22" s="72" t="s">
        <v>82</v>
      </c>
      <c r="D22" s="69">
        <v>6500</v>
      </c>
    </row>
    <row r="23" spans="1:8" ht="14.1" customHeight="1" x14ac:dyDescent="0.25">
      <c r="A23" s="81" t="s">
        <v>85</v>
      </c>
      <c r="B23" s="72" t="s">
        <v>86</v>
      </c>
      <c r="C23" s="72" t="s">
        <v>72</v>
      </c>
      <c r="D23" s="69">
        <v>2000</v>
      </c>
    </row>
    <row r="24" spans="1:8" ht="14.1" customHeight="1" x14ac:dyDescent="0.25">
      <c r="A24" s="81" t="s">
        <v>87</v>
      </c>
      <c r="B24" s="72" t="s">
        <v>88</v>
      </c>
      <c r="C24" s="72" t="s">
        <v>72</v>
      </c>
      <c r="D24" s="69">
        <v>9000</v>
      </c>
    </row>
    <row r="25" spans="1:8" ht="14.1" customHeight="1" x14ac:dyDescent="0.25">
      <c r="A25" s="81" t="s">
        <v>89</v>
      </c>
      <c r="B25" s="72" t="s">
        <v>90</v>
      </c>
      <c r="C25" s="72" t="s">
        <v>91</v>
      </c>
      <c r="D25" s="69">
        <v>7300</v>
      </c>
    </row>
    <row r="26" spans="1:8" ht="14.1" customHeight="1" x14ac:dyDescent="0.25">
      <c r="A26" s="81" t="s">
        <v>92</v>
      </c>
      <c r="B26" s="72" t="s">
        <v>93</v>
      </c>
      <c r="D26" s="69">
        <v>1500</v>
      </c>
    </row>
    <row r="27" spans="1:8" ht="14.1" customHeight="1" x14ac:dyDescent="0.25">
      <c r="A27" s="81" t="s">
        <v>92</v>
      </c>
      <c r="B27" s="72" t="s">
        <v>94</v>
      </c>
      <c r="C27" s="72" t="s">
        <v>95</v>
      </c>
      <c r="D27" s="69">
        <v>11000</v>
      </c>
      <c r="H27" s="72" t="s">
        <v>96</v>
      </c>
    </row>
    <row r="28" spans="1:8" ht="14.1" customHeight="1" x14ac:dyDescent="0.25">
      <c r="A28" s="81" t="s">
        <v>97</v>
      </c>
      <c r="B28" s="72" t="s">
        <v>98</v>
      </c>
      <c r="D28" s="69">
        <v>10254</v>
      </c>
    </row>
    <row r="29" spans="1:8" ht="14.1" customHeight="1" x14ac:dyDescent="0.25">
      <c r="A29" s="81" t="s">
        <v>99</v>
      </c>
      <c r="B29" s="72" t="s">
        <v>100</v>
      </c>
    </row>
    <row r="30" spans="1:8" ht="14.1" customHeight="1" x14ac:dyDescent="0.25">
      <c r="A30" s="81" t="s">
        <v>101</v>
      </c>
      <c r="B30" s="72" t="s">
        <v>102</v>
      </c>
      <c r="D30" s="69">
        <v>25000</v>
      </c>
    </row>
    <row r="31" spans="1:8" ht="14.1" customHeight="1" x14ac:dyDescent="0.25">
      <c r="A31" s="81" t="s">
        <v>103</v>
      </c>
      <c r="B31" s="72" t="s">
        <v>104</v>
      </c>
    </row>
    <row r="32" spans="1:8" ht="14.1" customHeight="1" x14ac:dyDescent="0.25">
      <c r="A32" s="81" t="s">
        <v>105</v>
      </c>
      <c r="B32" s="72" t="s">
        <v>106</v>
      </c>
    </row>
    <row r="39" spans="3:4" ht="14.1" customHeight="1" x14ac:dyDescent="0.25">
      <c r="C39" s="61" t="s">
        <v>55</v>
      </c>
      <c r="D39" s="11">
        <f>SUM(D9:D38)</f>
        <v>225554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IU13"/>
  <sheetViews>
    <sheetView workbookViewId="0"/>
  </sheetViews>
  <sheetFormatPr defaultColWidth="8.85546875" defaultRowHeight="14.1" customHeight="1" x14ac:dyDescent="0.2"/>
  <cols>
    <col min="1" max="1" width="4.42578125" style="57" customWidth="1"/>
    <col min="2" max="2" width="24.7109375" style="57" customWidth="1"/>
    <col min="3" max="3" width="34.85546875" style="57" customWidth="1"/>
    <col min="4" max="4" width="17.7109375" style="57" customWidth="1"/>
    <col min="5" max="255" width="8.85546875" style="57" customWidth="1"/>
  </cols>
  <sheetData>
    <row r="1" spans="1:255" ht="60" customHeight="1" x14ac:dyDescent="0.25">
      <c r="A1" s="49" t="s">
        <v>51</v>
      </c>
      <c r="B1" s="49" t="s">
        <v>34</v>
      </c>
      <c r="C1" s="50" t="s">
        <v>35</v>
      </c>
      <c r="D1" s="51" t="s">
        <v>36</v>
      </c>
    </row>
    <row r="2" spans="1:255" ht="15.6" customHeight="1" x14ac:dyDescent="0.25">
      <c r="A2" s="58"/>
      <c r="B2" s="52"/>
      <c r="C2" s="53"/>
      <c r="D2" s="54"/>
    </row>
    <row r="3" spans="1:255" ht="13.7" customHeight="1" x14ac:dyDescent="0.2">
      <c r="A3" s="59" t="s">
        <v>107</v>
      </c>
      <c r="B3" s="23"/>
      <c r="C3" s="60"/>
      <c r="D3" s="23"/>
    </row>
    <row r="4" spans="1:255" ht="150" x14ac:dyDescent="0.25">
      <c r="A4" s="41"/>
      <c r="B4" s="3" t="s">
        <v>108</v>
      </c>
      <c r="C4" s="55" t="s">
        <v>109</v>
      </c>
      <c r="D4" s="11" t="s">
        <v>110</v>
      </c>
    </row>
    <row r="5" spans="1:255" ht="15" x14ac:dyDescent="0.25">
      <c r="A5" s="41"/>
      <c r="B5" s="3"/>
      <c r="C5" s="55"/>
      <c r="D5" s="41"/>
    </row>
    <row r="6" spans="1:255" ht="15" x14ac:dyDescent="0.25">
      <c r="A6" s="41"/>
      <c r="B6" s="3"/>
      <c r="C6" s="55"/>
      <c r="D6" s="41"/>
    </row>
    <row r="7" spans="1:255" ht="15" customHeight="1" x14ac:dyDescent="0.25">
      <c r="A7" s="41"/>
      <c r="B7" s="41"/>
      <c r="C7" s="61" t="s">
        <v>55</v>
      </c>
      <c r="D7" s="11">
        <f>SUM(D4:D6)</f>
        <v>0</v>
      </c>
    </row>
    <row r="8" spans="1:255" ht="15" customHeight="1" x14ac:dyDescent="0.25">
      <c r="A8" s="62" t="s">
        <v>111</v>
      </c>
      <c r="B8" s="41"/>
      <c r="C8" s="56"/>
      <c r="D8" s="11"/>
    </row>
    <row r="9" spans="1:255" ht="15" x14ac:dyDescent="0.25">
      <c r="A9" s="62"/>
      <c r="B9" s="41"/>
      <c r="C9" s="56"/>
      <c r="D9" s="11"/>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5" x14ac:dyDescent="0.25">
      <c r="A10" s="62"/>
      <c r="B10" s="41"/>
      <c r="C10" s="56"/>
      <c r="D10" s="11"/>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5" x14ac:dyDescent="0.25">
      <c r="A11" s="62"/>
      <c r="B11" s="41"/>
      <c r="C11" s="56"/>
      <c r="D11" s="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5" x14ac:dyDescent="0.25">
      <c r="A12" s="62"/>
      <c r="B12" s="41"/>
      <c r="C12" s="56"/>
      <c r="D12" s="11"/>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5" customHeight="1" x14ac:dyDescent="0.25">
      <c r="A13" s="2"/>
      <c r="B13" s="2"/>
      <c r="C13" s="61" t="s">
        <v>55</v>
      </c>
      <c r="D13" s="11">
        <f>SUM(D9:D12)</f>
        <v>0</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sheetData>
  <phoneticPr fontId="18" type="noConversion"/>
  <pageMargins left="0.7" right="0.7" top="0.75" bottom="0.75" header="0.3" footer="0.3"/>
  <pageSetup firstPageNumber="6" orientation="portrait" useFirstPageNumber="1" r:id="rId1"/>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1ECCF-6AC2-4169-839B-EAE72507A60B}">
  <dimension ref="A1:IU13"/>
  <sheetViews>
    <sheetView workbookViewId="0"/>
  </sheetViews>
  <sheetFormatPr defaultColWidth="8.85546875" defaultRowHeight="14.1" customHeight="1" x14ac:dyDescent="0.2"/>
  <cols>
    <col min="1" max="1" width="4.42578125" style="57" customWidth="1"/>
    <col min="2" max="2" width="24.7109375" style="57" customWidth="1"/>
    <col min="3" max="3" width="34.85546875" style="57" customWidth="1"/>
    <col min="4" max="4" width="17.7109375" style="57" customWidth="1"/>
    <col min="5" max="255" width="8.85546875" style="57"/>
  </cols>
  <sheetData>
    <row r="1" spans="1:255" ht="60" customHeight="1" thickTop="1" thickBot="1" x14ac:dyDescent="0.3">
      <c r="A1" s="49" t="s">
        <v>51</v>
      </c>
      <c r="B1" s="49" t="s">
        <v>34</v>
      </c>
      <c r="C1" s="50" t="s">
        <v>35</v>
      </c>
      <c r="D1" s="51" t="s">
        <v>36</v>
      </c>
    </row>
    <row r="2" spans="1:255" ht="15.6" customHeight="1" x14ac:dyDescent="0.25">
      <c r="A2" s="58"/>
      <c r="B2" s="52"/>
      <c r="C2" s="53"/>
      <c r="D2" s="54"/>
    </row>
    <row r="3" spans="1:255" ht="13.7" customHeight="1" x14ac:dyDescent="0.2">
      <c r="A3" s="59" t="s">
        <v>112</v>
      </c>
      <c r="B3" s="23"/>
      <c r="C3" s="60"/>
      <c r="D3" s="23"/>
    </row>
    <row r="4" spans="1:255" ht="15" x14ac:dyDescent="0.25">
      <c r="A4" s="41"/>
      <c r="B4" s="3" t="s">
        <v>113</v>
      </c>
      <c r="C4" s="55"/>
      <c r="D4" s="11"/>
    </row>
    <row r="5" spans="1:255" ht="15" x14ac:dyDescent="0.25">
      <c r="A5" s="41"/>
      <c r="B5" s="3"/>
      <c r="C5" s="55"/>
      <c r="D5" s="41"/>
    </row>
    <row r="6" spans="1:255" ht="15" x14ac:dyDescent="0.25">
      <c r="A6" s="41"/>
      <c r="B6" s="3"/>
      <c r="C6" s="55"/>
      <c r="D6" s="41"/>
    </row>
    <row r="7" spans="1:255" ht="15" customHeight="1" x14ac:dyDescent="0.25">
      <c r="A7" s="41"/>
      <c r="B7" s="41"/>
      <c r="C7" s="61" t="s">
        <v>55</v>
      </c>
      <c r="D7" s="11">
        <f>SUM(D4:D6)</f>
        <v>0</v>
      </c>
    </row>
    <row r="8" spans="1:255" ht="15" customHeight="1" x14ac:dyDescent="0.25">
      <c r="A8" s="62" t="s">
        <v>114</v>
      </c>
      <c r="B8" s="41"/>
      <c r="C8" s="56"/>
      <c r="D8" s="11"/>
    </row>
    <row r="9" spans="1:255" ht="75" x14ac:dyDescent="0.25">
      <c r="A9" s="62"/>
      <c r="B9" s="41" t="s">
        <v>115</v>
      </c>
      <c r="C9" s="56" t="s">
        <v>116</v>
      </c>
      <c r="D9" s="11">
        <v>270000</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5" x14ac:dyDescent="0.25">
      <c r="A10" s="62"/>
      <c r="B10" s="41"/>
      <c r="C10" s="56"/>
      <c r="D10" s="11"/>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5" x14ac:dyDescent="0.25">
      <c r="A11" s="62"/>
      <c r="B11" s="41"/>
      <c r="C11" s="56"/>
      <c r="D11" s="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5" x14ac:dyDescent="0.25">
      <c r="A12" s="62"/>
      <c r="B12" s="41"/>
      <c r="C12" s="56"/>
      <c r="D12" s="11"/>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5" customHeight="1" x14ac:dyDescent="0.25">
      <c r="A13" s="2"/>
      <c r="B13" s="2"/>
      <c r="C13" s="61" t="s">
        <v>55</v>
      </c>
      <c r="D13" s="11">
        <f>SUM(D9:D12)</f>
        <v>270000</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636F0470BC804482EE2427FABECBB1" ma:contentTypeVersion="13" ma:contentTypeDescription="Create a new document." ma:contentTypeScope="" ma:versionID="d1e4be9641da495af4b8066f5ed33b7b">
  <xsd:schema xmlns:xsd="http://www.w3.org/2001/XMLSchema" xmlns:xs="http://www.w3.org/2001/XMLSchema" xmlns:p="http://schemas.microsoft.com/office/2006/metadata/properties" xmlns:ns2="f789544d-3eee-4138-b578-a59a6a5a7bbd" xmlns:ns3="2fe2ef50-d1d4-4fd6-837a-b2c411e8571b" targetNamespace="http://schemas.microsoft.com/office/2006/metadata/properties" ma:root="true" ma:fieldsID="f263643dda025cd831680ae0116bb875" ns2:_="" ns3:_="">
    <xsd:import namespace="f789544d-3eee-4138-b578-a59a6a5a7bbd"/>
    <xsd:import namespace="2fe2ef50-d1d4-4fd6-837a-b2c411e8571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89544d-3eee-4138-b578-a59a6a5a7b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e2ef50-d1d4-4fd6-837a-b2c411e8571b"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D286CF-A363-48FD-9367-AAE3F2A621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89544d-3eee-4138-b578-a59a6a5a7bbd"/>
    <ds:schemaRef ds:uri="2fe2ef50-d1d4-4fd6-837a-b2c411e857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6114FA-1367-4AF5-856B-3A66D576ADBE}">
  <ds:schemaRefs>
    <ds:schemaRef ds:uri="http://schemas.microsoft.com/sharepoint/v3/contenttype/forms"/>
  </ds:schemaRefs>
</ds:datastoreItem>
</file>

<file path=customXml/itemProps3.xml><?xml version="1.0" encoding="utf-8"?>
<ds:datastoreItem xmlns:ds="http://schemas.openxmlformats.org/officeDocument/2006/customXml" ds:itemID="{AE9D257E-26AE-400D-877B-3AA5808160D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Debt Service Fund</vt:lpstr>
      <vt:lpstr>6511 M&amp;S vs Personnel</vt:lpstr>
      <vt:lpstr>6511 Income</vt:lpstr>
      <vt:lpstr>6511 Expenditures</vt:lpstr>
      <vt:lpstr>6512 Reserve Fund (Rev &amp; Exp)</vt:lpstr>
      <vt:lpstr>Facilities - Requests</vt:lpstr>
      <vt:lpstr>Fleet - Requests</vt:lpstr>
      <vt:lpstr>Operations Detail - Requests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Kuetzing</dc:creator>
  <cp:keywords/>
  <dc:description/>
  <cp:lastModifiedBy>Nathan Butler</cp:lastModifiedBy>
  <cp:revision/>
  <cp:lastPrinted>2021-12-01T22:56:20Z</cp:lastPrinted>
  <dcterms:created xsi:type="dcterms:W3CDTF">2016-04-27T21:54:17Z</dcterms:created>
  <dcterms:modified xsi:type="dcterms:W3CDTF">2021-12-02T01:04:12Z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0x0101002F636F0470BC804482EE2427FABECBB1</vt:lpwstr>
  </property>
  <property fmtid="{D5CDD505-2E9C-101B-9397-08002B2CF9AE}" pid="3" name="Order">
    <vt:r8>6036600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